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mc:AlternateContent xmlns:mc="http://schemas.openxmlformats.org/markup-compatibility/2006">
    <mc:Choice Requires="x15">
      <x15ac:absPath xmlns:x15ac="http://schemas.microsoft.com/office/spreadsheetml/2010/11/ac" url="https://freese-my.sharepoint.com/personal/johnny_sullivan_freese_com/Documents/Desktop/"/>
    </mc:Choice>
  </mc:AlternateContent>
  <xr:revisionPtr revIDLastSave="32" documentId="8_{FAECE359-8706-461B-A1B8-869078F8B61F}" xr6:coauthVersionLast="47" xr6:coauthVersionMax="47" xr10:uidLastSave="{F8E83B55-2D2F-4F7D-AB34-343AD1B63FEA}"/>
  <workbookProtection workbookAlgorithmName="SHA-512" workbookHashValue="yB+aLfR0H7tMHtKsiQH2t6Q6GPEbGpUAFm38OUkpwa83gwkUbFZ1m/4ttpIB5/I6JjLeHDBqL/dJkT2dfXNTgQ==" workbookSaltValue="AqX2T24bJA2occn7O5N0zg==" workbookSpinCount="100000" lockStructure="1"/>
  <bookViews>
    <workbookView xWindow="-120" yWindow="-120" windowWidth="29040" windowHeight="15840" tabRatio="702" xr2:uid="{00000000-000D-0000-FFFF-FFFF00000000}"/>
  </bookViews>
  <sheets>
    <sheet name="Impact Fee Worksheet" sheetId="17" r:id="rId1"/>
    <sheet name="Versions" sheetId="23" r:id="rId2"/>
    <sheet name="Collection Rates" sheetId="22" r:id="rId3"/>
    <sheet name="Land Use Equivalency Table" sheetId="21" r:id="rId4"/>
    <sheet name="Service Areas" sheetId="19" r:id="rId5"/>
    <sheet name="Hidden" sheetId="14" state="hidden" r:id="rId6"/>
  </sheets>
  <definedNames>
    <definedName name="_Order1" hidden="1">255</definedName>
    <definedName name="_Order2" hidden="1">255</definedName>
    <definedName name="Commercial_Retail">Hidden!$F$2:$F$42</definedName>
    <definedName name="Industrial">Hidden!$G$2:$G$7</definedName>
    <definedName name="Institutional">Hidden!$H$2:$H$8</definedName>
    <definedName name="LandUseCat">Hidden!$C$2:$C$6</definedName>
    <definedName name="Office">Hidden!$E$2:$E$5</definedName>
    <definedName name="_xlnm.Print_Area" localSheetId="0">'Impact Fee Worksheet'!$A$1:$T$72</definedName>
    <definedName name="_xlnm.Print_Area" localSheetId="3">'Land Use Equivalency Table'!$B$2:$G$74</definedName>
    <definedName name="Residential">Hidden!$D$2:$D$9</definedName>
    <definedName name="Roadway_Service">Hidden!$A$2:$A$14</definedName>
    <definedName name="Select_Service_Area">Hidden!$D$55</definedName>
  </definedNames>
  <calcPr calcId="191029"/>
  <customWorkbookViews>
    <customWorkbookView name="PAGE1" guid="{C7DEFAC1-2A65-43FD-8D0A-4F4353435422}" maximized="1" xWindow="-8" yWindow="-8" windowWidth="1936" windowHeight="1056" activeSheetId="1"/>
    <customWorkbookView name="2" guid="{AE89B271-2B61-4891-A1BD-02DE42395B53}"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1" i="17" l="1"/>
  <c r="E60" i="17"/>
  <c r="O6" i="14"/>
  <c r="O5" i="14"/>
  <c r="P6" i="14"/>
  <c r="P5" i="14"/>
  <c r="P4" i="14"/>
  <c r="O4" i="14"/>
  <c r="P3" i="14"/>
  <c r="O3" i="14"/>
  <c r="T12" i="17"/>
  <c r="E44" i="17"/>
  <c r="M17" i="17"/>
  <c r="I43" i="17"/>
  <c r="M59" i="17"/>
  <c r="K5" i="22"/>
  <c r="J5" i="22"/>
  <c r="C6" i="22"/>
  <c r="D6" i="22"/>
  <c r="E6" i="22"/>
  <c r="F6" i="22"/>
  <c r="C7" i="22"/>
  <c r="D7" i="22"/>
  <c r="E7" i="22"/>
  <c r="F7" i="22"/>
  <c r="C8" i="22"/>
  <c r="D8" i="22"/>
  <c r="E8" i="22"/>
  <c r="F8" i="22"/>
  <c r="C9" i="22"/>
  <c r="D9" i="22"/>
  <c r="E9" i="22"/>
  <c r="F9" i="22"/>
  <c r="C10" i="22"/>
  <c r="D10" i="22"/>
  <c r="E10" i="22"/>
  <c r="F10" i="22"/>
  <c r="C11" i="22"/>
  <c r="D11" i="22"/>
  <c r="E11" i="22"/>
  <c r="F11" i="22"/>
  <c r="C12" i="22"/>
  <c r="D12" i="22"/>
  <c r="E12" i="22"/>
  <c r="F12" i="22"/>
  <c r="C13" i="22"/>
  <c r="D13" i="22"/>
  <c r="E13" i="22"/>
  <c r="F13" i="22"/>
  <c r="C14" i="22"/>
  <c r="D14" i="22"/>
  <c r="E14" i="22"/>
  <c r="F14" i="22"/>
  <c r="C15" i="22"/>
  <c r="D15" i="22"/>
  <c r="E15" i="22"/>
  <c r="F15" i="22"/>
  <c r="F5" i="22"/>
  <c r="E5" i="22"/>
  <c r="D5" i="22"/>
  <c r="C5" i="22"/>
  <c r="O56" i="17"/>
  <c r="O48" i="17"/>
  <c r="O49" i="17"/>
  <c r="O50" i="17"/>
  <c r="O51" i="17"/>
  <c r="O52" i="17"/>
  <c r="O53" i="17"/>
  <c r="O54" i="17"/>
  <c r="O55" i="17"/>
  <c r="S49" i="17"/>
  <c r="S50" i="17"/>
  <c r="S51" i="17"/>
  <c r="S52" i="17"/>
  <c r="S53" i="17"/>
  <c r="S54" i="17"/>
  <c r="S55" i="17"/>
  <c r="S56" i="17"/>
  <c r="S48" i="17"/>
  <c r="P56" i="17"/>
  <c r="P53" i="17"/>
  <c r="P54" i="17"/>
  <c r="P55" i="17"/>
  <c r="W13" i="22"/>
  <c r="K13" i="22" s="1"/>
  <c r="V13" i="22"/>
  <c r="J13" i="22" s="1"/>
  <c r="W12" i="22"/>
  <c r="K12" i="22" s="1"/>
  <c r="V12" i="22"/>
  <c r="J12" i="22" s="1"/>
  <c r="W11" i="22"/>
  <c r="K11" i="22" s="1"/>
  <c r="V11" i="22"/>
  <c r="J11" i="22" s="1"/>
  <c r="W10" i="22"/>
  <c r="K10" i="22" s="1"/>
  <c r="V10" i="22"/>
  <c r="J10" i="22" s="1"/>
  <c r="W9" i="22"/>
  <c r="K9" i="22" s="1"/>
  <c r="V9" i="22"/>
  <c r="J9" i="22" s="1"/>
  <c r="W8" i="22"/>
  <c r="K8" i="22" s="1"/>
  <c r="V8" i="22"/>
  <c r="J8" i="22" s="1"/>
  <c r="W7" i="22"/>
  <c r="K7" i="22" s="1"/>
  <c r="V7" i="22"/>
  <c r="J7" i="22" s="1"/>
  <c r="W6" i="22"/>
  <c r="K6" i="22" s="1"/>
  <c r="V6" i="22"/>
  <c r="J6" i="22" s="1"/>
  <c r="U6" i="22"/>
  <c r="O6" i="22" s="1"/>
  <c r="U7" i="22"/>
  <c r="S7" i="22" s="1"/>
  <c r="U8" i="22"/>
  <c r="S8" i="22" s="1"/>
  <c r="U9" i="22"/>
  <c r="O9" i="22" s="1"/>
  <c r="U10" i="22"/>
  <c r="M10" i="22" s="1"/>
  <c r="U11" i="22"/>
  <c r="S11" i="22" s="1"/>
  <c r="U12" i="22"/>
  <c r="O12" i="22" s="1"/>
  <c r="U13" i="22"/>
  <c r="S13" i="22" s="1"/>
  <c r="T7" i="22"/>
  <c r="R7" i="22" s="1"/>
  <c r="T8" i="22"/>
  <c r="R8" i="22" s="1"/>
  <c r="T9" i="22"/>
  <c r="R9" i="22" s="1"/>
  <c r="T10" i="22"/>
  <c r="R10" i="22" s="1"/>
  <c r="T11" i="22"/>
  <c r="R11" i="22" s="1"/>
  <c r="T12" i="22"/>
  <c r="R12" i="22" s="1"/>
  <c r="T13" i="22"/>
  <c r="R13" i="22" s="1"/>
  <c r="T6" i="22"/>
  <c r="R6" i="22" s="1"/>
  <c r="S5" i="22"/>
  <c r="R5" i="22"/>
  <c r="Q5" i="22"/>
  <c r="P5" i="22"/>
  <c r="O5" i="22"/>
  <c r="N5" i="22"/>
  <c r="M5" i="22"/>
  <c r="L5" i="22"/>
  <c r="P52" i="17" l="1"/>
  <c r="P51" i="17"/>
  <c r="P49" i="17"/>
  <c r="P50" i="17"/>
  <c r="S59" i="17"/>
  <c r="G67" i="17" s="1"/>
  <c r="O59" i="17"/>
  <c r="G66" i="17" s="1"/>
  <c r="O10" i="22"/>
  <c r="M11" i="22"/>
  <c r="S6" i="22"/>
  <c r="M8" i="22"/>
  <c r="M12" i="22"/>
  <c r="Q12" i="22"/>
  <c r="S12" i="22"/>
  <c r="N9" i="22"/>
  <c r="N6" i="22"/>
  <c r="Q9" i="22"/>
  <c r="M9" i="22"/>
  <c r="M6" i="22"/>
  <c r="N11" i="22"/>
  <c r="Q6" i="22"/>
  <c r="S9" i="22"/>
  <c r="N12" i="22"/>
  <c r="N7" i="22"/>
  <c r="N10" i="22"/>
  <c r="Q10" i="22"/>
  <c r="M13" i="22"/>
  <c r="N8" i="22"/>
  <c r="S10" i="22"/>
  <c r="Q13" i="22"/>
  <c r="L6" i="22"/>
  <c r="L7" i="22"/>
  <c r="L8" i="22"/>
  <c r="L9" i="22"/>
  <c r="L10" i="22"/>
  <c r="L11" i="22"/>
  <c r="L12" i="22"/>
  <c r="L13" i="22"/>
  <c r="M7" i="22"/>
  <c r="N13" i="22"/>
  <c r="O7" i="22"/>
  <c r="O8" i="22"/>
  <c r="O11" i="22"/>
  <c r="O13" i="22"/>
  <c r="P6" i="22"/>
  <c r="P7" i="22"/>
  <c r="P8" i="22"/>
  <c r="P9" i="22"/>
  <c r="P10" i="22"/>
  <c r="P11" i="22"/>
  <c r="P12" i="22"/>
  <c r="P13" i="22"/>
  <c r="Q7" i="22"/>
  <c r="Q8" i="22"/>
  <c r="Q11" i="22"/>
  <c r="M19" i="17" l="1"/>
  <c r="M18" i="17"/>
  <c r="L7" i="14"/>
  <c r="K7" i="14"/>
  <c r="L6" i="14"/>
  <c r="K6" i="14"/>
  <c r="L5" i="14"/>
  <c r="K5" i="14"/>
  <c r="L4" i="14"/>
  <c r="K4" i="14"/>
  <c r="L3" i="14"/>
  <c r="K3" i="14"/>
  <c r="P28" i="17"/>
  <c r="P29" i="17"/>
  <c r="P30" i="17"/>
  <c r="P31" i="17"/>
  <c r="P33" i="17"/>
  <c r="P34" i="17"/>
  <c r="P35" i="17"/>
  <c r="P36" i="17"/>
  <c r="M28" i="17"/>
  <c r="M29" i="17"/>
  <c r="M30" i="17"/>
  <c r="M31" i="17"/>
  <c r="M32" i="17"/>
  <c r="M33" i="17"/>
  <c r="M34" i="17"/>
  <c r="M35" i="17"/>
  <c r="M36" i="17"/>
  <c r="M27" i="17"/>
  <c r="I28" i="17"/>
  <c r="I29" i="17"/>
  <c r="I30" i="17"/>
  <c r="I31" i="17"/>
  <c r="I32" i="17"/>
  <c r="I33" i="17"/>
  <c r="I34" i="17"/>
  <c r="I35" i="17"/>
  <c r="I36" i="17"/>
  <c r="I27" i="17"/>
  <c r="T50" i="17"/>
  <c r="M20" i="17"/>
  <c r="T49" i="17"/>
  <c r="T52" i="17"/>
  <c r="T53" i="17"/>
  <c r="T54" i="17"/>
  <c r="T55" i="17"/>
  <c r="T56" i="17"/>
  <c r="T48" i="17" l="1"/>
  <c r="P48" i="17"/>
  <c r="S29" i="17"/>
  <c r="T29" i="17"/>
  <c r="S36" i="17"/>
  <c r="T36" i="17"/>
  <c r="S28" i="17"/>
  <c r="T28" i="17"/>
  <c r="S35" i="17"/>
  <c r="T35" i="17"/>
  <c r="T34" i="17"/>
  <c r="S34" i="17"/>
  <c r="S30" i="17"/>
  <c r="T30" i="17"/>
  <c r="T33" i="17"/>
  <c r="S33" i="17"/>
  <c r="T31" i="17"/>
  <c r="S31" i="17"/>
  <c r="P32" i="17"/>
  <c r="T51" i="17"/>
  <c r="P39" i="17"/>
  <c r="T39" i="17" s="1"/>
  <c r="S32" i="17" l="1"/>
  <c r="T32" i="17"/>
  <c r="T59" i="17"/>
  <c r="P59" i="17"/>
  <c r="R39" i="17"/>
  <c r="P27" i="17"/>
  <c r="S27" i="17" l="1"/>
  <c r="S43" i="17" s="1"/>
  <c r="G65" i="17" s="1"/>
  <c r="G69" i="17" s="1"/>
  <c r="T27" i="17"/>
  <c r="P40" i="17"/>
  <c r="P41" i="17"/>
  <c r="R41" i="17" l="1"/>
  <c r="T41" i="17"/>
  <c r="R40" i="17"/>
  <c r="T40" i="17"/>
  <c r="T66" i="17"/>
  <c r="T67" i="17"/>
  <c r="T43" i="17" l="1"/>
  <c r="T65" i="17" s="1"/>
  <c r="T69" i="17" s="1"/>
</calcChain>
</file>

<file path=xl/sharedStrings.xml><?xml version="1.0" encoding="utf-8"?>
<sst xmlns="http://schemas.openxmlformats.org/spreadsheetml/2006/main" count="446" uniqueCount="271">
  <si>
    <t>Development Name:</t>
  </si>
  <si>
    <t>Applicant:</t>
  </si>
  <si>
    <t>Case / Plat Number:</t>
  </si>
  <si>
    <t>Land Use Type</t>
  </si>
  <si>
    <t>Dev. Unit</t>
  </si>
  <si>
    <t>Development Size 
(DU, sq ft, etc.)</t>
  </si>
  <si>
    <t>A</t>
  </si>
  <si>
    <t>B</t>
  </si>
  <si>
    <t>Residential</t>
  </si>
  <si>
    <t>Office</t>
  </si>
  <si>
    <t>Hotel</t>
  </si>
  <si>
    <t>Rooms</t>
  </si>
  <si>
    <t>Screens</t>
  </si>
  <si>
    <t>Hardware/Paint Store</t>
  </si>
  <si>
    <t>Discount Club</t>
  </si>
  <si>
    <t>Home Improvement Superstore</t>
  </si>
  <si>
    <t>Furniture Store</t>
  </si>
  <si>
    <t>Quality Restaurant</t>
  </si>
  <si>
    <t>General Light Industrial</t>
  </si>
  <si>
    <t>Manufacturing</t>
  </si>
  <si>
    <t>Land Use Category</t>
  </si>
  <si>
    <t>Industrial</t>
  </si>
  <si>
    <t>Institutional</t>
  </si>
  <si>
    <t>Day Care Center</t>
  </si>
  <si>
    <t>Students</t>
  </si>
  <si>
    <t>Impact Fee Cost Calculation Worksheet</t>
  </si>
  <si>
    <t>Roadway Impact Fee Cost</t>
  </si>
  <si>
    <t>Senior Adult Housing - Detached</t>
  </si>
  <si>
    <t>Continuing Care Retirement Community</t>
  </si>
  <si>
    <t>Research and Development Center</t>
  </si>
  <si>
    <t>Shopping Center</t>
  </si>
  <si>
    <t>Electronic Superstore</t>
  </si>
  <si>
    <t>Private School (K-8)</t>
  </si>
  <si>
    <t>Church</t>
  </si>
  <si>
    <t>Veh-Mi Per Dev Unit</t>
  </si>
  <si>
    <t>Meter Size</t>
  </si>
  <si>
    <t>1"</t>
  </si>
  <si>
    <t>1-1/2"</t>
  </si>
  <si>
    <t>2"</t>
  </si>
  <si>
    <t>3"</t>
  </si>
  <si>
    <t>4"</t>
  </si>
  <si>
    <t>6"</t>
  </si>
  <si>
    <t>8"</t>
  </si>
  <si>
    <t>WATER</t>
  </si>
  <si>
    <t>WASTEWATER</t>
  </si>
  <si>
    <t>Demand 
(vehicle-miles)</t>
  </si>
  <si>
    <t>Water and Wastewater Impact Fee Costs</t>
  </si>
  <si>
    <t>Roadway Service Area:</t>
  </si>
  <si>
    <t>A x B</t>
  </si>
  <si>
    <t>A x B x ($/SU)</t>
  </si>
  <si>
    <t xml:space="preserve">Water cost per service unit ($/SU): </t>
  </si>
  <si>
    <t xml:space="preserve">Wastewater cost per service unit ($/SU): </t>
  </si>
  <si>
    <t>Type</t>
  </si>
  <si>
    <t>All Suites Hotel</t>
  </si>
  <si>
    <t>Variety Store</t>
  </si>
  <si>
    <t>Fueling Positions</t>
  </si>
  <si>
    <t>Water</t>
  </si>
  <si>
    <t>Wastewater</t>
  </si>
  <si>
    <t>Roadway</t>
  </si>
  <si>
    <t>City of Waco, Texas</t>
  </si>
  <si>
    <t>ITE 
Code</t>
  </si>
  <si>
    <t>Development 
Unit</t>
  </si>
  <si>
    <t>Trip Rate w/ Reductions
(PM Peak)</t>
  </si>
  <si>
    <t>O-D Adjusted Trip Length (mi)</t>
  </si>
  <si>
    <t>Service 
Unit Equivalency</t>
  </si>
  <si>
    <t>RESIDENTIAL</t>
  </si>
  <si>
    <t>Single-Family Detached Housing</t>
  </si>
  <si>
    <t>210</t>
  </si>
  <si>
    <t>Dwelling Units</t>
  </si>
  <si>
    <t>Multifamily Housing (Low-Rise)</t>
  </si>
  <si>
    <t>220</t>
  </si>
  <si>
    <t>Multifamily Housing (Mid-Rise)</t>
  </si>
  <si>
    <t>221</t>
  </si>
  <si>
    <t>Off-Campus Student Apartment</t>
  </si>
  <si>
    <t>225</t>
  </si>
  <si>
    <t>Bedrooms</t>
  </si>
  <si>
    <t>Mid-Rise Residential with 1st-Floor Commercial</t>
  </si>
  <si>
    <t>231</t>
  </si>
  <si>
    <t>251</t>
  </si>
  <si>
    <t>Assisted Living</t>
  </si>
  <si>
    <t>254</t>
  </si>
  <si>
    <t>Beds</t>
  </si>
  <si>
    <t>255</t>
  </si>
  <si>
    <t>OFFICE</t>
  </si>
  <si>
    <t>General Office Building</t>
  </si>
  <si>
    <t>710</t>
  </si>
  <si>
    <t>1,000 Sq Ft GFA</t>
  </si>
  <si>
    <t>Medical-Dental Office Building</t>
  </si>
  <si>
    <t>720</t>
  </si>
  <si>
    <t>United States Post Office</t>
  </si>
  <si>
    <t>732</t>
  </si>
  <si>
    <t>760</t>
  </si>
  <si>
    <t>COMMERCIAL/RETAIL</t>
  </si>
  <si>
    <t>310</t>
  </si>
  <si>
    <t>311</t>
  </si>
  <si>
    <t>Golf Course</t>
  </si>
  <si>
    <t>430</t>
  </si>
  <si>
    <t>Holes</t>
  </si>
  <si>
    <t>Miniature Golf Course</t>
  </si>
  <si>
    <t>431</t>
  </si>
  <si>
    <t>Golf Driving Range</t>
  </si>
  <si>
    <t>432</t>
  </si>
  <si>
    <t>Driving Positions</t>
  </si>
  <si>
    <t>Multiplex Movie Theater</t>
  </si>
  <si>
    <t>445</t>
  </si>
  <si>
    <t>Health/Fitness Club</t>
  </si>
  <si>
    <t>492</t>
  </si>
  <si>
    <t>Hospital</t>
  </si>
  <si>
    <t>610</t>
  </si>
  <si>
    <t>Nursing Home</t>
  </si>
  <si>
    <t>620</t>
  </si>
  <si>
    <t>Clinic</t>
  </si>
  <si>
    <t>630</t>
  </si>
  <si>
    <t>Animal Hospital/Veterinary Clinic</t>
  </si>
  <si>
    <t>640</t>
  </si>
  <si>
    <t>Free-Standing Emergency Room</t>
  </si>
  <si>
    <t>650</t>
  </si>
  <si>
    <t>820</t>
  </si>
  <si>
    <t>1,000 Sq Ft GLA</t>
  </si>
  <si>
    <t>Building Materials and Lumber Store</t>
  </si>
  <si>
    <t>812</t>
  </si>
  <si>
    <t>Free-Standing Discount Superstore</t>
  </si>
  <si>
    <t>813</t>
  </si>
  <si>
    <t>814</t>
  </si>
  <si>
    <t>Free-Standing Discount Store</t>
  </si>
  <si>
    <t>815</t>
  </si>
  <si>
    <t>816</t>
  </si>
  <si>
    <t>Nursery (Garden Center)</t>
  </si>
  <si>
    <t>817</t>
  </si>
  <si>
    <t>Supermarket</t>
  </si>
  <si>
    <t>850</t>
  </si>
  <si>
    <t>Convenience Market w/ Gasoline Pumps</t>
  </si>
  <si>
    <t>853</t>
  </si>
  <si>
    <t>857</t>
  </si>
  <si>
    <t>Sporting Goods Superstore</t>
  </si>
  <si>
    <t>861</t>
  </si>
  <si>
    <t>862</t>
  </si>
  <si>
    <t>863</t>
  </si>
  <si>
    <t>Pet Supply Superstore</t>
  </si>
  <si>
    <t>866</t>
  </si>
  <si>
    <t>Office Supply Superstore</t>
  </si>
  <si>
    <t>867</t>
  </si>
  <si>
    <t>Discount Home Furnishing Superstore</t>
  </si>
  <si>
    <t>869</t>
  </si>
  <si>
    <t>Department Store</t>
  </si>
  <si>
    <t>875</t>
  </si>
  <si>
    <t>Arts and Crafts Store</t>
  </si>
  <si>
    <t>879</t>
  </si>
  <si>
    <t>Pharmacy/Drugstore w/o Drive-Through Window</t>
  </si>
  <si>
    <t>880</t>
  </si>
  <si>
    <t>Pharmacy/Drugstore w/ Drive-Through Window</t>
  </si>
  <si>
    <t>881</t>
  </si>
  <si>
    <t>890</t>
  </si>
  <si>
    <t>Walk-in Bank</t>
  </si>
  <si>
    <t>911</t>
  </si>
  <si>
    <t>Drive-in Bank</t>
  </si>
  <si>
    <t>912</t>
  </si>
  <si>
    <t>Drive-in Lanes</t>
  </si>
  <si>
    <t>931</t>
  </si>
  <si>
    <t>High-Turnover (Sit-Down) Restaurant</t>
  </si>
  <si>
    <t>932</t>
  </si>
  <si>
    <t>Fast-Food Restaurant w/ Drive-Through Window</t>
  </si>
  <si>
    <t>934</t>
  </si>
  <si>
    <t>Bread/Donut/Bagel Shop w/o Drive-Through Window</t>
  </si>
  <si>
    <t>939</t>
  </si>
  <si>
    <t>Automobile Parts Service Center</t>
  </si>
  <si>
    <t>943</t>
  </si>
  <si>
    <t>Car Wash and Detail Center</t>
  </si>
  <si>
    <t>949</t>
  </si>
  <si>
    <t>Wash Stalls</t>
  </si>
  <si>
    <t>INDUSTRIAL</t>
  </si>
  <si>
    <t>110</t>
  </si>
  <si>
    <t>140</t>
  </si>
  <si>
    <t>Warehousing</t>
  </si>
  <si>
    <t>150</t>
  </si>
  <si>
    <t>Mini-Warehouse</t>
  </si>
  <si>
    <t>151</t>
  </si>
  <si>
    <t>High-Cube Fulfillment Center Warehouse</t>
  </si>
  <si>
    <t>155</t>
  </si>
  <si>
    <t>Data Center</t>
  </si>
  <si>
    <t>160</t>
  </si>
  <si>
    <t>INSTITUTIONAL</t>
  </si>
  <si>
    <t>534</t>
  </si>
  <si>
    <t>Private School (K-12)</t>
  </si>
  <si>
    <t>536</t>
  </si>
  <si>
    <t>Charter Elementary School</t>
  </si>
  <si>
    <t>537</t>
  </si>
  <si>
    <t>Junior/Community College</t>
  </si>
  <si>
    <t>540</t>
  </si>
  <si>
    <t>University/College</t>
  </si>
  <si>
    <t>550</t>
  </si>
  <si>
    <t>560</t>
  </si>
  <si>
    <t>565</t>
  </si>
  <si>
    <t>Legal Description (Lot, Block):</t>
  </si>
  <si>
    <t>Roadway Impact
of Development 
($)</t>
  </si>
  <si>
    <t>Commercial/Retail</t>
  </si>
  <si>
    <t>Primary</t>
  </si>
  <si>
    <t>These rows allow for the entry of unique or uncommon land use categories not included within the current ITE Trip Generation, or when circumstances require manual entry of the development unit and/or trip rate. It shall only be used when (a) sufficient data is available to support an alternative calculation and (b) it is agreed to by the City during the TIA scoping meeting.</t>
  </si>
  <si>
    <t>City Limits</t>
  </si>
  <si>
    <t>ETJ</t>
  </si>
  <si>
    <t>June 1, 2022 - May 31, 2023</t>
  </si>
  <si>
    <t>June 1, 2023 - May 31, 2024</t>
  </si>
  <si>
    <t>June 1, 2024 - May 31, 2025</t>
  </si>
  <si>
    <t>5/8"</t>
  </si>
  <si>
    <t>1.5"</t>
  </si>
  <si>
    <t>10"</t>
  </si>
  <si>
    <t>June 1, 2021 -
May 31, 2022</t>
  </si>
  <si>
    <t>June 1, 2021 - May 31, 2022</t>
  </si>
  <si>
    <t>Roadway Service Area</t>
  </si>
  <si>
    <t>Enter Development Name</t>
  </si>
  <si>
    <t>Enter Case Number</t>
  </si>
  <si>
    <t>Enter Legal Description</t>
  </si>
  <si>
    <t>N/A (Development within ETJ)</t>
  </si>
  <si>
    <t>Enter Roadway Service Area #</t>
  </si>
  <si>
    <t>Development in City Limits or ETJ:</t>
  </si>
  <si>
    <t>Do you qualify for an existing or relocating business exemption?</t>
  </si>
  <si>
    <t>Do you qualify for a single-family residential infill area exemption?</t>
  </si>
  <si>
    <t>Qualifications</t>
  </si>
  <si>
    <t>Do you qualify for a school exemption?</t>
  </si>
  <si>
    <t>Is your project located in the Traditional Commercial Corridor or City Core?</t>
  </si>
  <si>
    <t>Ratio to 5/8" Meter</t>
  </si>
  <si>
    <t>Displacement</t>
  </si>
  <si>
    <t>Class II Turbine</t>
  </si>
  <si>
    <t>June 1, 2025 - May 31, 2026</t>
  </si>
  <si>
    <t>Start</t>
  </si>
  <si>
    <t>End</t>
  </si>
  <si>
    <t>Range</t>
  </si>
  <si>
    <t>Roadway cost per vehicle-mile ($/SU):</t>
  </si>
  <si>
    <t>Water 
Impact of Development</t>
  </si>
  <si>
    <t>Wastewater 
Impact of Development</t>
  </si>
  <si>
    <t>June 1, 2022 -
May 31, 2023</t>
  </si>
  <si>
    <t>June 1, 2023 -
May 31, 2024</t>
  </si>
  <si>
    <t>June 1, 2024 -
May 31, 2025</t>
  </si>
  <si>
    <t>June 1 2025 -
May 31, 2026</t>
  </si>
  <si>
    <t>Maximum Collected Fee per Service Unit
(Vehicle Mile)</t>
  </si>
  <si>
    <t>Maximum Assessed Fee per Service Unit
(Vehicle Mile)</t>
  </si>
  <si>
    <t>Service Unit Equivalent</t>
  </si>
  <si>
    <t>Total Impact Fee Costs</t>
  </si>
  <si>
    <t>TOTAL ASSESSED IMPACT FEE:</t>
  </si>
  <si>
    <t>Roadway Impact Fee Cost:</t>
  </si>
  <si>
    <t>Water Impact Fee Cost:</t>
  </si>
  <si>
    <t>Wastewater Impact Fee Cost:</t>
  </si>
  <si>
    <t>Assessed Water Fee</t>
  </si>
  <si>
    <t>Assessed WW Fee</t>
  </si>
  <si>
    <t>Assessed Roadway Fee</t>
  </si>
  <si>
    <r>
      <t>TOTAL COLLECTED IMPACT FEE</t>
    </r>
    <r>
      <rPr>
        <b/>
        <vertAlign val="superscript"/>
        <sz val="14"/>
        <color theme="1"/>
        <rFont val="Calibri"/>
        <family val="2"/>
        <scheme val="minor"/>
      </rPr>
      <t>(1)</t>
    </r>
    <r>
      <rPr>
        <b/>
        <sz val="14"/>
        <color theme="1"/>
        <rFont val="Calibri"/>
        <family val="2"/>
        <scheme val="minor"/>
      </rPr>
      <t>:</t>
    </r>
  </si>
  <si>
    <t>Maximum Collected Fee per Service Unit</t>
  </si>
  <si>
    <t>Maximum Assessed Fee per Service Unit</t>
  </si>
  <si>
    <t>Calculated Roadway Impact Fee:</t>
  </si>
  <si>
    <t>Calculated Water Impact Fee:</t>
  </si>
  <si>
    <t>Calculated Wastewater Impact Fee:</t>
  </si>
  <si>
    <t>Water Connection Quantity</t>
  </si>
  <si>
    <t>Wastewater Connection Quantity</t>
  </si>
  <si>
    <t>Please note that this is a calculation tool. Final fee determination will be based on City Staff assessment.</t>
  </si>
  <si>
    <t>Enter Applicant Name, Phone Number, and Email Address</t>
  </si>
  <si>
    <t>Was the preliminary or final plat submitted by November 3, 2020?</t>
  </si>
  <si>
    <r>
      <rPr>
        <i/>
        <vertAlign val="superscript"/>
        <sz val="10"/>
        <color theme="1"/>
        <rFont val="Calibri"/>
        <family val="2"/>
        <scheme val="minor"/>
      </rPr>
      <t>(1)</t>
    </r>
    <r>
      <rPr>
        <i/>
        <sz val="10"/>
        <color theme="1"/>
        <rFont val="Calibri"/>
        <family val="2"/>
        <scheme val="minor"/>
      </rPr>
      <t>If the Collected Water and Wastewater Impact Fees exceed $75,000 per lot, then no Roadway Impact Fee will be collected. If the Collected Water and Wastewater Impact Fees do not exceed $75,000 per lot, then the Total Collected Impact Fee will not exceed $75,000 per lot.</t>
    </r>
  </si>
  <si>
    <t>Date* (Month, Day, Year):</t>
  </si>
  <si>
    <t>*Date is anticipated date of plat approval</t>
  </si>
  <si>
    <t>Form Completed On:</t>
  </si>
  <si>
    <t>Version</t>
  </si>
  <si>
    <t>Added clarification that date field is the date of plat approval</t>
  </si>
  <si>
    <t>Added text inidicating when the form was completed</t>
  </si>
  <si>
    <t>Revised calculation to include phased impact fees for the ETJ</t>
  </si>
  <si>
    <t>Date</t>
  </si>
  <si>
    <t>Change Log</t>
  </si>
  <si>
    <t>Enter Month</t>
  </si>
  <si>
    <t>Enter Day</t>
  </si>
  <si>
    <t>Enter Year</t>
  </si>
  <si>
    <t>Enter Development Location</t>
  </si>
  <si>
    <t>Worksheet Last Updated: 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</si>
</sst>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mm/dd/yy;@"/>
    <numFmt numFmtId="166" formatCode="_(&quot;$&quot;* #,##0.00_);_(&quot;$&quot;* \(#,##0.00\);_(&quot;$&quot;* &quot;-&quot;_);_(@_)"/>
    <numFmt numFmtId="167" formatCode="0.0"/>
  </numFmts>
  <fonts count="41" x14ac:knownFonts="1">
    <font>
      <sz val="11"/>
      <color theme="1"/>
      <name val="Calibri"/>
      <family val="2"/>
      <scheme val="minor"/>
    </font>
    <font>
      <sz val="11"/>
      <color rgb="FF3F3F76"/>
      <name val="Calibri"/>
      <family val="2"/>
      <scheme val="minor"/>
    </font>
    <font>
      <b/>
      <sz val="11"/>
      <color theme="1"/>
      <name val="Calibri"/>
      <family val="2"/>
      <scheme val="minor"/>
    </font>
    <font>
      <sz val="12"/>
      <name val="Arial"/>
      <family val="2"/>
    </font>
    <font>
      <sz val="10"/>
      <name val="Arial"/>
      <family val="2"/>
    </font>
    <font>
      <b/>
      <sz val="12"/>
      <color theme="1"/>
      <name val="Calibri"/>
      <family val="2"/>
      <scheme val="minor"/>
    </font>
    <font>
      <b/>
      <sz val="14"/>
      <color theme="1"/>
      <name val="Calibri"/>
      <family val="2"/>
      <scheme val="minor"/>
    </font>
    <font>
      <b/>
      <sz val="9"/>
      <color theme="1"/>
      <name val="Calibri"/>
      <family val="2"/>
      <scheme val="minor"/>
    </font>
    <font>
      <i/>
      <sz val="8"/>
      <color theme="1"/>
      <name val="Calibri"/>
      <family val="2"/>
      <scheme val="minor"/>
    </font>
    <font>
      <b/>
      <sz val="10"/>
      <color theme="1"/>
      <name val="Calibri"/>
      <family val="2"/>
      <scheme val="minor"/>
    </font>
    <font>
      <sz val="10"/>
      <color theme="1"/>
      <name val="Calibri"/>
      <family val="2"/>
      <scheme val="minor"/>
    </font>
    <font>
      <b/>
      <sz val="13"/>
      <color theme="1"/>
      <name val="Calibri"/>
      <family val="2"/>
      <scheme val="minor"/>
    </font>
    <font>
      <sz val="9"/>
      <color theme="1"/>
      <name val="Calibri"/>
      <family val="2"/>
      <scheme val="minor"/>
    </font>
    <font>
      <i/>
      <sz val="10"/>
      <color theme="1"/>
      <name val="Calibri"/>
      <family val="2"/>
      <scheme val="minor"/>
    </font>
    <font>
      <sz val="10"/>
      <color rgb="FF3F3F76"/>
      <name val="Calibri"/>
      <family val="2"/>
      <scheme val="minor"/>
    </font>
    <font>
      <b/>
      <sz val="20"/>
      <color theme="1"/>
      <name val="Calibri"/>
      <family val="2"/>
      <scheme val="minor"/>
    </font>
    <font>
      <sz val="10"/>
      <color theme="1"/>
      <name val="Times New Roman"/>
      <family val="1"/>
    </font>
    <font>
      <sz val="11"/>
      <color theme="1"/>
      <name val="Calibri"/>
      <family val="2"/>
      <scheme val="minor"/>
    </font>
    <font>
      <sz val="10"/>
      <name val="Calibri"/>
      <family val="2"/>
      <scheme val="minor"/>
    </font>
    <font>
      <i/>
      <sz val="10"/>
      <name val="Calibri"/>
      <family val="2"/>
      <scheme val="minor"/>
    </font>
    <font>
      <sz val="11"/>
      <color indexed="8"/>
      <name val="Arial"/>
      <family val="2"/>
    </font>
    <font>
      <b/>
      <sz val="9"/>
      <color rgb="FFE6AA00"/>
      <name val="Calibri"/>
      <family val="2"/>
      <scheme val="minor"/>
    </font>
    <font>
      <b/>
      <sz val="11"/>
      <color theme="0"/>
      <name val="Calibri"/>
      <family val="2"/>
      <scheme val="minor"/>
    </font>
    <font>
      <sz val="11"/>
      <color theme="0"/>
      <name val="Calibri"/>
      <family val="2"/>
      <scheme val="minor"/>
    </font>
    <font>
      <sz val="12"/>
      <name val="Arial"/>
      <family val="2"/>
    </font>
    <font>
      <b/>
      <sz val="12"/>
      <color theme="0"/>
      <name val="Arial"/>
      <family val="2"/>
    </font>
    <font>
      <b/>
      <sz val="11"/>
      <color theme="0"/>
      <name val="Arial"/>
      <family val="2"/>
    </font>
    <font>
      <b/>
      <sz val="12"/>
      <color theme="0"/>
      <name val="Calibri"/>
      <family val="2"/>
      <scheme val="minor"/>
    </font>
    <font>
      <sz val="11"/>
      <name val="Calibri"/>
      <family val="2"/>
      <scheme val="minor"/>
    </font>
    <font>
      <sz val="10"/>
      <color rgb="FF031C6B"/>
      <name val="Calibri"/>
      <family val="2"/>
      <scheme val="minor"/>
    </font>
    <font>
      <b/>
      <sz val="14"/>
      <color theme="0"/>
      <name val="Calibri"/>
      <family val="2"/>
      <scheme val="minor"/>
    </font>
    <font>
      <b/>
      <sz val="11"/>
      <name val="Calibri"/>
      <family val="2"/>
      <scheme val="minor"/>
    </font>
    <font>
      <sz val="11"/>
      <color theme="1"/>
      <name val="Calibri"/>
      <family val="2"/>
    </font>
    <font>
      <b/>
      <sz val="11"/>
      <color rgb="FFFFFFFF"/>
      <name val="Calibri"/>
      <family val="2"/>
    </font>
    <font>
      <sz val="10"/>
      <color rgb="FF000000"/>
      <name val="Calibri"/>
      <family val="2"/>
    </font>
    <font>
      <sz val="11"/>
      <color rgb="FF000000"/>
      <name val="Calibri"/>
      <family val="2"/>
    </font>
    <font>
      <sz val="10"/>
      <name val="Calibri"/>
      <family val="2"/>
    </font>
    <font>
      <b/>
      <sz val="10"/>
      <color rgb="FFFFFFFF"/>
      <name val="Calibri"/>
      <family val="2"/>
    </font>
    <font>
      <b/>
      <vertAlign val="superscript"/>
      <sz val="14"/>
      <color theme="1"/>
      <name val="Calibri"/>
      <family val="2"/>
      <scheme val="minor"/>
    </font>
    <font>
      <i/>
      <vertAlign val="superscript"/>
      <sz val="10"/>
      <color theme="1"/>
      <name val="Calibri"/>
      <family val="2"/>
      <scheme val="minor"/>
    </font>
    <font>
      <i/>
      <sz val="11"/>
      <color theme="1"/>
      <name val="Calibri"/>
      <family val="2"/>
      <scheme val="minor"/>
    </font>
  </fonts>
  <fills count="7">
    <fill>
      <patternFill patternType="none"/>
    </fill>
    <fill>
      <patternFill patternType="gray125"/>
    </fill>
    <fill>
      <patternFill patternType="solid">
        <fgColor rgb="FFFFCC99"/>
      </patternFill>
    </fill>
    <fill>
      <patternFill patternType="solid">
        <fgColor theme="0" tint="-0.14999847407452621"/>
        <bgColor indexed="64"/>
      </patternFill>
    </fill>
    <fill>
      <patternFill patternType="solid">
        <fgColor rgb="FF015D91"/>
        <bgColor indexed="64"/>
      </patternFill>
    </fill>
    <fill>
      <patternFill patternType="solid">
        <fgColor rgb="FF031C6B"/>
        <bgColor indexed="64"/>
      </patternFill>
    </fill>
    <fill>
      <patternFill patternType="solid">
        <fgColor rgb="FFE2E9FE"/>
        <bgColor indexed="64"/>
      </patternFill>
    </fill>
  </fills>
  <borders count="35">
    <border>
      <left/>
      <right/>
      <top/>
      <bottom/>
      <diagonal/>
    </border>
    <border>
      <left style="thin">
        <color rgb="FF7F7F7F"/>
      </left>
      <right style="thin">
        <color rgb="FF7F7F7F"/>
      </right>
      <top style="thin">
        <color rgb="FF7F7F7F"/>
      </top>
      <bottom style="thin">
        <color rgb="FF7F7F7F"/>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thin">
        <color rgb="FF7F7F7F"/>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thin">
        <color rgb="FF7F7F7F"/>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double">
        <color auto="1"/>
      </left>
      <right/>
      <top style="thin">
        <color rgb="FF7F7F7F"/>
      </top>
      <bottom style="thin">
        <color rgb="FF7F7F7F"/>
      </bottom>
      <diagonal/>
    </border>
    <border>
      <left/>
      <right style="thin">
        <color theme="1" tint="0.499984740745262"/>
      </right>
      <top/>
      <bottom/>
      <diagonal/>
    </border>
    <border>
      <left style="double">
        <color auto="1"/>
      </left>
      <right/>
      <top style="thin">
        <color theme="1" tint="0.499984740745262"/>
      </top>
      <bottom style="thin">
        <color theme="1" tint="0.499984740745262"/>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style="thin">
        <color rgb="FF7F7F7F"/>
      </top>
      <bottom style="thin">
        <color rgb="FF7F7F7F"/>
      </bottom>
      <diagonal/>
    </border>
    <border>
      <left/>
      <right/>
      <top style="thin">
        <color theme="1" tint="0.499984740745262"/>
      </top>
      <bottom style="thin">
        <color theme="1" tint="0.499984740745262"/>
      </bottom>
      <diagonal/>
    </border>
    <border>
      <left/>
      <right/>
      <top style="thin">
        <color rgb="FF7F7F7F"/>
      </top>
      <bottom/>
      <diagonal/>
    </border>
    <border>
      <left style="thin">
        <color indexed="64"/>
      </left>
      <right/>
      <top style="thin">
        <color indexed="64"/>
      </top>
      <bottom style="thin">
        <color indexed="64"/>
      </bottom>
      <diagonal/>
    </border>
  </borders>
  <cellStyleXfs count="9">
    <xf numFmtId="0" fontId="0" fillId="0" borderId="0"/>
    <xf numFmtId="0" fontId="1" fillId="2" borderId="1" applyNumberFormat="0" applyAlignment="0" applyProtection="0"/>
    <xf numFmtId="0" fontId="3"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0" fontId="24" fillId="0" borderId="0"/>
  </cellStyleXfs>
  <cellXfs count="235">
    <xf numFmtId="0" fontId="0" fillId="0" borderId="0" xfId="0"/>
    <xf numFmtId="0" fontId="0" fillId="0" borderId="0" xfId="0" applyBorder="1"/>
    <xf numFmtId="0" fontId="10" fillId="0" borderId="0" xfId="0" applyFont="1" applyBorder="1"/>
    <xf numFmtId="0" fontId="16" fillId="0" borderId="0" xfId="0" applyFont="1" applyFill="1" applyBorder="1" applyAlignment="1">
      <alignment horizontal="left" indent="1"/>
    </xf>
    <xf numFmtId="0" fontId="20" fillId="0" borderId="0" xfId="0" applyNumberFormat="1" applyFont="1" applyBorder="1" applyAlignment="1"/>
    <xf numFmtId="0" fontId="22" fillId="0" borderId="25" xfId="8" applyFont="1" applyBorder="1" applyAlignment="1">
      <alignment wrapText="1"/>
    </xf>
    <xf numFmtId="0" fontId="22" fillId="0" borderId="0" xfId="8" applyFont="1" applyAlignment="1">
      <alignment horizontal="center" wrapText="1"/>
    </xf>
    <xf numFmtId="0" fontId="22" fillId="0" borderId="13" xfId="8" applyFont="1" applyBorder="1" applyAlignment="1">
      <alignment horizontal="center" wrapText="1"/>
    </xf>
    <xf numFmtId="2" fontId="22" fillId="0" borderId="26" xfId="8" applyNumberFormat="1" applyFont="1" applyBorder="1" applyAlignment="1">
      <alignment horizontal="center" wrapText="1"/>
    </xf>
    <xf numFmtId="0" fontId="26" fillId="0" borderId="0" xfId="8" applyFont="1" applyAlignment="1">
      <alignment wrapText="1"/>
    </xf>
    <xf numFmtId="0" fontId="28" fillId="0" borderId="25" xfId="8" applyFont="1" applyBorder="1" applyAlignment="1">
      <alignment horizontal="left" indent="2"/>
    </xf>
    <xf numFmtId="0" fontId="28" fillId="0" borderId="0" xfId="8" applyFont="1" applyAlignment="1">
      <alignment horizontal="center"/>
    </xf>
    <xf numFmtId="2" fontId="28" fillId="0" borderId="0" xfId="8" applyNumberFormat="1" applyFont="1" applyAlignment="1">
      <alignment horizontal="center"/>
    </xf>
    <xf numFmtId="0" fontId="28" fillId="0" borderId="13" xfId="8" applyFont="1" applyBorder="1" applyAlignment="1">
      <alignment horizontal="center"/>
    </xf>
    <xf numFmtId="2" fontId="28" fillId="0" borderId="26" xfId="8" applyNumberFormat="1" applyFont="1" applyBorder="1" applyAlignment="1">
      <alignment horizontal="center"/>
    </xf>
    <xf numFmtId="0" fontId="24" fillId="0" borderId="0" xfId="8"/>
    <xf numFmtId="2" fontId="28" fillId="0" borderId="13" xfId="8" applyNumberFormat="1" applyFont="1" applyBorder="1" applyAlignment="1">
      <alignment horizontal="center"/>
    </xf>
    <xf numFmtId="49" fontId="28" fillId="0" borderId="0" xfId="8" applyNumberFormat="1" applyFont="1" applyAlignment="1">
      <alignment horizontal="center"/>
    </xf>
    <xf numFmtId="0" fontId="28" fillId="0" borderId="27" xfId="8" applyFont="1" applyBorder="1" applyAlignment="1">
      <alignment horizontal="left" indent="2"/>
    </xf>
    <xf numFmtId="0" fontId="28" fillId="0" borderId="28" xfId="8" applyFont="1" applyBorder="1" applyAlignment="1">
      <alignment horizontal="center"/>
    </xf>
    <xf numFmtId="2" fontId="28" fillId="0" borderId="28" xfId="8" applyNumberFormat="1" applyFont="1" applyBorder="1" applyAlignment="1">
      <alignment horizontal="center"/>
    </xf>
    <xf numFmtId="0" fontId="28" fillId="0" borderId="12" xfId="8" applyFont="1" applyBorder="1" applyAlignment="1">
      <alignment horizontal="center"/>
    </xf>
    <xf numFmtId="2" fontId="28" fillId="0" borderId="29" xfId="8" applyNumberFormat="1" applyFont="1" applyBorder="1" applyAlignment="1">
      <alignment horizontal="center"/>
    </xf>
    <xf numFmtId="0" fontId="28" fillId="0" borderId="0" xfId="8" applyFont="1"/>
    <xf numFmtId="2" fontId="28" fillId="0" borderId="0" xfId="8" applyNumberFormat="1" applyFont="1"/>
    <xf numFmtId="0" fontId="26" fillId="0" borderId="0" xfId="8" applyFont="1" applyFill="1" applyAlignment="1">
      <alignment wrapText="1"/>
    </xf>
    <xf numFmtId="0" fontId="25" fillId="0" borderId="0" xfId="8" applyFont="1" applyFill="1" applyAlignment="1">
      <alignment vertical="center"/>
    </xf>
    <xf numFmtId="0" fontId="27" fillId="4" borderId="25" xfId="8" applyFont="1" applyFill="1" applyBorder="1" applyAlignment="1">
      <alignment vertical="center"/>
    </xf>
    <xf numFmtId="0" fontId="27" fillId="4" borderId="0" xfId="8" applyFont="1" applyFill="1" applyAlignment="1">
      <alignment horizontal="center" vertical="center"/>
    </xf>
    <xf numFmtId="2" fontId="27" fillId="4" borderId="0" xfId="8" applyNumberFormat="1" applyFont="1" applyFill="1" applyAlignment="1">
      <alignment horizontal="center" vertical="center"/>
    </xf>
    <xf numFmtId="0" fontId="27" fillId="4" borderId="13" xfId="8" applyFont="1" applyFill="1" applyBorder="1" applyAlignment="1">
      <alignment horizontal="center" vertical="center"/>
    </xf>
    <xf numFmtId="2" fontId="27" fillId="4" borderId="26" xfId="8" applyNumberFormat="1" applyFont="1" applyFill="1" applyBorder="1" applyAlignment="1">
      <alignment horizontal="center" vertical="center"/>
    </xf>
    <xf numFmtId="0" fontId="27" fillId="4" borderId="13" xfId="8" applyFont="1" applyFill="1" applyBorder="1" applyAlignment="1">
      <alignment vertical="center"/>
    </xf>
    <xf numFmtId="2" fontId="27" fillId="4" borderId="26" xfId="8" applyNumberFormat="1" applyFont="1" applyFill="1" applyBorder="1" applyAlignment="1">
      <alignment vertical="center"/>
    </xf>
    <xf numFmtId="0" fontId="22" fillId="4" borderId="21" xfId="8" applyFont="1" applyFill="1" applyBorder="1" applyAlignment="1">
      <alignment wrapText="1"/>
    </xf>
    <xf numFmtId="0" fontId="22" fillId="4" borderId="22" xfId="8" applyFont="1" applyFill="1" applyBorder="1" applyAlignment="1">
      <alignment horizontal="center" wrapText="1"/>
    </xf>
    <xf numFmtId="0" fontId="22" fillId="4" borderId="23" xfId="8" applyFont="1" applyFill="1" applyBorder="1" applyAlignment="1">
      <alignment horizontal="center" wrapText="1"/>
    </xf>
    <xf numFmtId="2" fontId="22" fillId="4" borderId="24" xfId="8" applyNumberFormat="1" applyFont="1" applyFill="1" applyBorder="1" applyAlignment="1">
      <alignment horizontal="center" wrapText="1"/>
    </xf>
    <xf numFmtId="0" fontId="0" fillId="0" borderId="0" xfId="0" applyAlignment="1"/>
    <xf numFmtId="3" fontId="29" fillId="6" borderId="1" xfId="1" applyNumberFormat="1" applyFont="1" applyFill="1" applyBorder="1" applyAlignment="1" applyProtection="1">
      <alignment horizontal="center" vertical="center"/>
      <protection locked="0"/>
    </xf>
    <xf numFmtId="0" fontId="29" fillId="6" borderId="1" xfId="1" applyFont="1" applyFill="1" applyBorder="1" applyAlignment="1" applyProtection="1">
      <alignment horizontal="center" vertical="center"/>
      <protection locked="0"/>
    </xf>
    <xf numFmtId="0" fontId="31" fillId="0" borderId="0" xfId="0" applyFont="1" applyFill="1" applyBorder="1" applyAlignment="1"/>
    <xf numFmtId="0" fontId="10" fillId="0" borderId="0" xfId="0" applyFont="1" applyFill="1" applyBorder="1"/>
    <xf numFmtId="0" fontId="0" fillId="0" borderId="0" xfId="0" applyFont="1"/>
    <xf numFmtId="0" fontId="10" fillId="0" borderId="0" xfId="0" quotePrefix="1" applyFont="1" applyBorder="1"/>
    <xf numFmtId="0" fontId="35" fillId="0" borderId="30" xfId="0" applyFont="1" applyBorder="1" applyAlignment="1">
      <alignment horizontal="center" wrapText="1"/>
    </xf>
    <xf numFmtId="0" fontId="0" fillId="0" borderId="0" xfId="0" applyAlignment="1">
      <alignment horizontal="center"/>
    </xf>
    <xf numFmtId="0" fontId="29" fillId="6" borderId="1" xfId="1" applyFont="1" applyFill="1" applyBorder="1" applyAlignment="1" applyProtection="1">
      <alignment horizontal="center"/>
      <protection locked="0"/>
    </xf>
    <xf numFmtId="0" fontId="10" fillId="0" borderId="0" xfId="0" applyFont="1" applyBorder="1" applyAlignment="1">
      <alignment horizontal="left"/>
    </xf>
    <xf numFmtId="0" fontId="35" fillId="0" borderId="0" xfId="0" applyFont="1" applyBorder="1" applyAlignment="1">
      <alignment horizontal="center" wrapText="1"/>
    </xf>
    <xf numFmtId="8" fontId="32" fillId="0" borderId="0" xfId="0" applyNumberFormat="1" applyFont="1" applyBorder="1" applyAlignment="1">
      <alignment horizontal="center" wrapText="1"/>
    </xf>
    <xf numFmtId="0" fontId="14" fillId="0" borderId="0" xfId="1" applyFont="1" applyFill="1" applyBorder="1" applyAlignment="1" applyProtection="1">
      <alignment vertical="center"/>
    </xf>
    <xf numFmtId="0" fontId="36" fillId="0" borderId="30" xfId="0" applyFont="1" applyFill="1" applyBorder="1" applyAlignment="1">
      <alignment horizontal="center" wrapText="1"/>
    </xf>
    <xf numFmtId="1" fontId="36" fillId="0" borderId="30" xfId="0" applyNumberFormat="1" applyFont="1" applyFill="1" applyBorder="1" applyAlignment="1">
      <alignment horizontal="center" wrapText="1"/>
    </xf>
    <xf numFmtId="6" fontId="34" fillId="0" borderId="30" xfId="0" applyNumberFormat="1" applyFont="1" applyFill="1" applyBorder="1" applyAlignment="1">
      <alignment horizontal="center"/>
    </xf>
    <xf numFmtId="0" fontId="29" fillId="6" borderId="1" xfId="1" applyFont="1" applyFill="1" applyBorder="1" applyAlignment="1" applyProtection="1">
      <alignment horizontal="left"/>
      <protection locked="0"/>
    </xf>
    <xf numFmtId="0" fontId="18" fillId="0" borderId="0" xfId="1" applyFont="1" applyFill="1" applyBorder="1" applyAlignment="1" applyProtection="1">
      <alignment horizontal="center" vertical="center"/>
    </xf>
    <xf numFmtId="0" fontId="33" fillId="4" borderId="30" xfId="0" applyFont="1" applyFill="1" applyBorder="1" applyAlignment="1">
      <alignment horizontal="center"/>
    </xf>
    <xf numFmtId="2" fontId="0" fillId="0" borderId="0" xfId="0" applyNumberFormat="1"/>
    <xf numFmtId="2" fontId="0" fillId="0" borderId="0" xfId="0" applyNumberFormat="1" applyAlignment="1"/>
    <xf numFmtId="0" fontId="16" fillId="0" borderId="0" xfId="0" applyFont="1" applyAlignment="1">
      <alignment vertical="center" wrapText="1"/>
    </xf>
    <xf numFmtId="0" fontId="34" fillId="0" borderId="30" xfId="0" applyFont="1" applyBorder="1" applyAlignment="1">
      <alignment horizontal="center" vertical="center" wrapText="1"/>
    </xf>
    <xf numFmtId="8" fontId="0" fillId="0" borderId="0" xfId="0" applyNumberFormat="1" applyAlignment="1"/>
    <xf numFmtId="0" fontId="0" fillId="0" borderId="0" xfId="0" applyProtection="1"/>
    <xf numFmtId="0" fontId="6" fillId="0" borderId="0" xfId="0" applyFont="1" applyAlignment="1" applyProtection="1">
      <alignment horizontal="center" vertical="center"/>
    </xf>
    <xf numFmtId="0" fontId="6" fillId="0" borderId="0" xfId="0" applyFont="1" applyAlignment="1" applyProtection="1">
      <alignment vertical="center"/>
    </xf>
    <xf numFmtId="0" fontId="0" fillId="0" borderId="0" xfId="0" applyAlignment="1" applyProtection="1">
      <alignment vertical="center"/>
    </xf>
    <xf numFmtId="0" fontId="0" fillId="0" borderId="0" xfId="0" applyAlignment="1" applyProtection="1"/>
    <xf numFmtId="0" fontId="2" fillId="0" borderId="0" xfId="0" applyFont="1" applyAlignment="1" applyProtection="1">
      <alignment horizontal="right"/>
    </xf>
    <xf numFmtId="0" fontId="0" fillId="0" borderId="0" xfId="0" applyBorder="1" applyProtection="1"/>
    <xf numFmtId="0" fontId="8" fillId="0" borderId="0" xfId="0" applyFont="1" applyBorder="1" applyAlignment="1" applyProtection="1"/>
    <xf numFmtId="0" fontId="2" fillId="0" borderId="0" xfId="0" applyFont="1" applyBorder="1" applyAlignment="1" applyProtection="1">
      <alignment horizontal="right"/>
    </xf>
    <xf numFmtId="0" fontId="29" fillId="0" borderId="1" xfId="1"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Border="1" applyAlignment="1" applyProtection="1">
      <alignment horizontal="right"/>
    </xf>
    <xf numFmtId="165" fontId="8" fillId="0" borderId="0" xfId="0" applyNumberFormat="1" applyFont="1" applyBorder="1" applyAlignment="1" applyProtection="1">
      <alignment horizontal="left"/>
    </xf>
    <xf numFmtId="0" fontId="30" fillId="5" borderId="8" xfId="0" applyFont="1" applyFill="1" applyBorder="1" applyAlignment="1" applyProtection="1">
      <alignment vertical="center"/>
    </xf>
    <xf numFmtId="0" fontId="23" fillId="5" borderId="9" xfId="0" applyFont="1" applyFill="1" applyBorder="1" applyAlignment="1" applyProtection="1">
      <alignment vertical="center"/>
    </xf>
    <xf numFmtId="0" fontId="30" fillId="5" borderId="9" xfId="0" applyFont="1" applyFill="1" applyBorder="1" applyAlignment="1" applyProtection="1">
      <alignment vertical="center"/>
    </xf>
    <xf numFmtId="0" fontId="23" fillId="5" borderId="9" xfId="0" applyFont="1" applyFill="1" applyBorder="1" applyProtection="1"/>
    <xf numFmtId="0" fontId="23" fillId="5" borderId="10" xfId="0" applyFont="1" applyFill="1" applyBorder="1" applyProtection="1"/>
    <xf numFmtId="0" fontId="0" fillId="0" borderId="2" xfId="0" applyBorder="1" applyAlignment="1" applyProtection="1">
      <alignment vertical="center"/>
    </xf>
    <xf numFmtId="0" fontId="0" fillId="0" borderId="0" xfId="0" applyBorder="1" applyAlignment="1" applyProtection="1">
      <alignment vertical="center"/>
    </xf>
    <xf numFmtId="165" fontId="8" fillId="0" borderId="3" xfId="0" applyNumberFormat="1" applyFont="1" applyBorder="1" applyAlignment="1" applyProtection="1">
      <alignment horizontal="left"/>
    </xf>
    <xf numFmtId="0" fontId="2" fillId="0" borderId="2" xfId="0" applyFont="1" applyBorder="1" applyAlignment="1" applyProtection="1">
      <alignment vertical="center"/>
    </xf>
    <xf numFmtId="0" fontId="10" fillId="0" borderId="0" xfId="0" applyFont="1" applyBorder="1" applyAlignment="1" applyProtection="1">
      <alignment vertical="center"/>
    </xf>
    <xf numFmtId="0" fontId="0" fillId="0" borderId="3" xfId="0" applyBorder="1" applyProtection="1"/>
    <xf numFmtId="0" fontId="2" fillId="0" borderId="4" xfId="0" applyFont="1" applyBorder="1" applyAlignment="1" applyProtection="1">
      <alignment vertical="center"/>
    </xf>
    <xf numFmtId="0" fontId="0" fillId="0" borderId="5" xfId="0" applyBorder="1" applyAlignment="1" applyProtection="1">
      <alignment vertical="center"/>
    </xf>
    <xf numFmtId="0" fontId="0" fillId="0" borderId="5" xfId="0" applyBorder="1" applyProtection="1"/>
    <xf numFmtId="0" fontId="10" fillId="0" borderId="5" xfId="0" applyFont="1" applyBorder="1" applyAlignment="1" applyProtection="1">
      <alignment vertical="center"/>
    </xf>
    <xf numFmtId="0" fontId="0" fillId="0" borderId="6" xfId="0" applyBorder="1" applyProtection="1"/>
    <xf numFmtId="0" fontId="11" fillId="0" borderId="0" xfId="0" applyFont="1" applyBorder="1" applyAlignment="1" applyProtection="1">
      <alignment horizontal="right"/>
    </xf>
    <xf numFmtId="0" fontId="11" fillId="0" borderId="0" xfId="0" applyFont="1" applyBorder="1" applyProtection="1"/>
    <xf numFmtId="42" fontId="11" fillId="0" borderId="0" xfId="0" applyNumberFormat="1" applyFont="1" applyBorder="1" applyAlignment="1" applyProtection="1"/>
    <xf numFmtId="166" fontId="11" fillId="0" borderId="0" xfId="0" applyNumberFormat="1" applyFont="1" applyBorder="1" applyProtection="1"/>
    <xf numFmtId="0" fontId="7" fillId="0" borderId="2" xfId="0" applyFont="1" applyBorder="1" applyAlignment="1" applyProtection="1">
      <alignment vertical="center"/>
    </xf>
    <xf numFmtId="0" fontId="12" fillId="0" borderId="0" xfId="0" applyFont="1" applyBorder="1" applyAlignment="1" applyProtection="1">
      <alignment vertical="center"/>
    </xf>
    <xf numFmtId="0" fontId="7" fillId="0" borderId="0" xfId="0" applyFont="1" applyBorder="1" applyAlignment="1" applyProtection="1">
      <alignment vertical="center"/>
    </xf>
    <xf numFmtId="0" fontId="21" fillId="0" borderId="0" xfId="0" applyFont="1" applyBorder="1" applyAlignment="1" applyProtection="1">
      <alignment horizontal="center"/>
    </xf>
    <xf numFmtId="0" fontId="21" fillId="0" borderId="0" xfId="0" applyFont="1" applyBorder="1" applyAlignment="1" applyProtection="1"/>
    <xf numFmtId="0" fontId="12" fillId="0" borderId="0" xfId="0" applyFont="1" applyProtection="1"/>
    <xf numFmtId="0" fontId="9" fillId="0" borderId="0" xfId="0" applyFont="1" applyBorder="1" applyAlignment="1" applyProtection="1">
      <alignment horizontal="center" vertical="center" wrapText="1"/>
    </xf>
    <xf numFmtId="0" fontId="9" fillId="0" borderId="0" xfId="0" applyFont="1" applyBorder="1" applyAlignment="1" applyProtection="1">
      <alignment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3" xfId="0" applyFont="1" applyBorder="1" applyAlignment="1" applyProtection="1">
      <alignment horizontal="center" vertical="center" wrapText="1"/>
    </xf>
    <xf numFmtId="0" fontId="10" fillId="0" borderId="0" xfId="0" applyFont="1" applyBorder="1" applyAlignment="1" applyProtection="1">
      <alignment horizontal="center" vertical="center"/>
    </xf>
    <xf numFmtId="2" fontId="10" fillId="0" borderId="0" xfId="0" applyNumberFormat="1" applyFont="1" applyBorder="1" applyAlignment="1" applyProtection="1">
      <alignment horizontal="center" vertical="center"/>
    </xf>
    <xf numFmtId="166" fontId="10" fillId="0" borderId="0" xfId="0" applyNumberFormat="1" applyFont="1" applyBorder="1" applyAlignment="1" applyProtection="1"/>
    <xf numFmtId="2" fontId="0" fillId="0" borderId="0" xfId="0" applyNumberFormat="1" applyBorder="1" applyAlignment="1" applyProtection="1">
      <alignment horizontal="center"/>
    </xf>
    <xf numFmtId="166" fontId="10" fillId="0" borderId="3" xfId="0" applyNumberFormat="1" applyFont="1" applyBorder="1" applyAlignment="1" applyProtection="1"/>
    <xf numFmtId="0" fontId="10" fillId="0" borderId="19" xfId="0" applyFont="1" applyBorder="1" applyAlignment="1" applyProtection="1">
      <alignment vertical="center"/>
    </xf>
    <xf numFmtId="166" fontId="0" fillId="0" borderId="0" xfId="0" applyNumberFormat="1" applyBorder="1" applyProtection="1"/>
    <xf numFmtId="0" fontId="0" fillId="3" borderId="4" xfId="0" applyFill="1" applyBorder="1" applyProtection="1"/>
    <xf numFmtId="0" fontId="0" fillId="3" borderId="5" xfId="0" applyFill="1" applyBorder="1" applyProtection="1"/>
    <xf numFmtId="0" fontId="13" fillId="3" borderId="5" xfId="0" applyFont="1" applyFill="1" applyBorder="1" applyAlignment="1" applyProtection="1">
      <alignment horizontal="right"/>
    </xf>
    <xf numFmtId="164" fontId="0" fillId="0" borderId="5" xfId="0" applyNumberFormat="1" applyBorder="1" applyAlignment="1" applyProtection="1"/>
    <xf numFmtId="0" fontId="0" fillId="0" borderId="2" xfId="0" applyBorder="1" applyProtection="1"/>
    <xf numFmtId="0" fontId="9" fillId="0" borderId="0" xfId="0" applyFont="1" applyBorder="1" applyAlignment="1" applyProtection="1">
      <alignment horizontal="center" vertical="center"/>
    </xf>
    <xf numFmtId="167" fontId="10" fillId="0" borderId="0" xfId="0" applyNumberFormat="1" applyFont="1" applyBorder="1" applyAlignment="1" applyProtection="1">
      <alignment horizontal="center"/>
    </xf>
    <xf numFmtId="2" fontId="0" fillId="0" borderId="0" xfId="0" applyNumberFormat="1" applyBorder="1" applyAlignment="1" applyProtection="1"/>
    <xf numFmtId="166" fontId="10" fillId="0" borderId="0" xfId="0" applyNumberFormat="1" applyFont="1" applyBorder="1" applyAlignment="1" applyProtection="1">
      <alignment horizontal="center"/>
    </xf>
    <xf numFmtId="166" fontId="10" fillId="0" borderId="3" xfId="0" applyNumberFormat="1" applyFont="1" applyBorder="1" applyAlignment="1" applyProtection="1">
      <alignment horizontal="right"/>
    </xf>
    <xf numFmtId="0" fontId="29" fillId="0" borderId="0" xfId="1" applyFont="1" applyFill="1" applyBorder="1" applyAlignment="1" applyProtection="1">
      <alignment horizontal="center" vertical="center"/>
    </xf>
    <xf numFmtId="0" fontId="10" fillId="0" borderId="0" xfId="0" applyFont="1" applyFill="1" applyBorder="1" applyAlignment="1" applyProtection="1">
      <alignment vertical="center"/>
    </xf>
    <xf numFmtId="0" fontId="0" fillId="0" borderId="0" xfId="0" applyBorder="1" applyAlignment="1" applyProtection="1"/>
    <xf numFmtId="0" fontId="5" fillId="0" borderId="3" xfId="0" applyFont="1" applyBorder="1" applyAlignment="1" applyProtection="1">
      <alignment horizontal="center"/>
    </xf>
    <xf numFmtId="0" fontId="13" fillId="0" borderId="0" xfId="0" applyFont="1" applyFill="1" applyBorder="1" applyAlignment="1" applyProtection="1">
      <alignment horizontal="right" vertical="center"/>
    </xf>
    <xf numFmtId="164" fontId="0" fillId="0" borderId="0" xfId="0" applyNumberFormat="1" applyFill="1" applyBorder="1" applyAlignment="1" applyProtection="1"/>
    <xf numFmtId="8" fontId="0" fillId="0" borderId="0" xfId="0" applyNumberFormat="1" applyBorder="1" applyAlignment="1" applyProtection="1">
      <alignment horizontal="center"/>
    </xf>
    <xf numFmtId="166" fontId="11" fillId="0" borderId="3" xfId="0" applyNumberFormat="1" applyFont="1" applyBorder="1" applyAlignment="1" applyProtection="1"/>
    <xf numFmtId="0" fontId="0" fillId="3" borderId="2" xfId="0" applyFill="1" applyBorder="1" applyProtection="1"/>
    <xf numFmtId="0" fontId="0" fillId="3" borderId="0" xfId="0" applyFill="1" applyBorder="1" applyProtection="1"/>
    <xf numFmtId="0" fontId="13" fillId="3" borderId="0" xfId="0" applyFont="1" applyFill="1" applyBorder="1" applyAlignment="1" applyProtection="1">
      <alignment horizontal="right" vertical="center"/>
    </xf>
    <xf numFmtId="166" fontId="11" fillId="0" borderId="0" xfId="0" applyNumberFormat="1" applyFont="1" applyBorder="1" applyAlignment="1" applyProtection="1">
      <alignment horizontal="left"/>
    </xf>
    <xf numFmtId="166" fontId="11" fillId="0" borderId="0" xfId="0" applyNumberFormat="1" applyFont="1" applyBorder="1" applyAlignment="1" applyProtection="1">
      <alignment horizontal="right"/>
    </xf>
    <xf numFmtId="166" fontId="11" fillId="0" borderId="3" xfId="0" applyNumberFormat="1" applyFont="1" applyBorder="1" applyAlignment="1" applyProtection="1">
      <alignment horizontal="right"/>
    </xf>
    <xf numFmtId="0" fontId="19" fillId="3" borderId="5" xfId="0" applyFont="1" applyFill="1" applyBorder="1" applyAlignment="1" applyProtection="1">
      <alignment horizontal="right"/>
    </xf>
    <xf numFmtId="0" fontId="19" fillId="0" borderId="5" xfId="0" applyFont="1" applyFill="1" applyBorder="1" applyAlignment="1" applyProtection="1">
      <alignment horizontal="right"/>
    </xf>
    <xf numFmtId="164" fontId="0" fillId="0" borderId="5" xfId="0" applyNumberFormat="1" applyBorder="1" applyAlignment="1" applyProtection="1">
      <alignment horizontal="center"/>
    </xf>
    <xf numFmtId="0" fontId="5" fillId="0" borderId="5" xfId="0" applyFont="1" applyBorder="1" applyAlignment="1" applyProtection="1">
      <alignment horizontal="right"/>
    </xf>
    <xf numFmtId="164" fontId="0" fillId="0" borderId="6" xfId="0" applyNumberFormat="1" applyBorder="1" applyAlignment="1" applyProtection="1"/>
    <xf numFmtId="0" fontId="13" fillId="0" borderId="2" xfId="0" applyFont="1" applyBorder="1" applyAlignment="1" applyProtection="1">
      <alignment vertical="top" wrapText="1"/>
    </xf>
    <xf numFmtId="0" fontId="13" fillId="0" borderId="0" xfId="0" applyFont="1" applyBorder="1" applyAlignment="1" applyProtection="1">
      <alignment vertical="top"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44" fontId="0" fillId="0" borderId="0" xfId="7" applyFont="1" applyBorder="1" applyAlignment="1" applyProtection="1"/>
    <xf numFmtId="44" fontId="0" fillId="0" borderId="0" xfId="7" applyFont="1" applyBorder="1" applyAlignment="1" applyProtection="1">
      <alignment horizontal="center"/>
    </xf>
    <xf numFmtId="0" fontId="6" fillId="0" borderId="0" xfId="0" applyFont="1" applyBorder="1" applyAlignment="1" applyProtection="1">
      <alignment horizontal="right" vertical="center"/>
    </xf>
    <xf numFmtId="44" fontId="6" fillId="0" borderId="0" xfId="7" applyFont="1" applyBorder="1" applyAlignment="1" applyProtection="1"/>
    <xf numFmtId="0" fontId="6" fillId="0" borderId="0" xfId="0" applyFont="1" applyBorder="1" applyAlignment="1" applyProtection="1">
      <alignment vertical="center"/>
    </xf>
    <xf numFmtId="44" fontId="0" fillId="0" borderId="3" xfId="7" applyFont="1" applyBorder="1" applyAlignment="1" applyProtection="1">
      <alignment horizontal="center"/>
    </xf>
    <xf numFmtId="0" fontId="13" fillId="0" borderId="5" xfId="0" applyFont="1" applyBorder="1" applyAlignment="1" applyProtection="1">
      <alignment vertical="top" wrapText="1"/>
    </xf>
    <xf numFmtId="0" fontId="2" fillId="0" borderId="0" xfId="0" applyFont="1" applyAlignment="1" applyProtection="1"/>
    <xf numFmtId="44" fontId="0" fillId="0" borderId="3" xfId="7" applyFont="1" applyBorder="1" applyAlignment="1" applyProtection="1"/>
    <xf numFmtId="44" fontId="6" fillId="0" borderId="3" xfId="7" applyFont="1" applyBorder="1" applyAlignment="1" applyProtection="1"/>
    <xf numFmtId="0" fontId="8" fillId="0" borderId="6" xfId="0" applyFont="1" applyBorder="1" applyAlignment="1" applyProtection="1">
      <alignment horizontal="right"/>
    </xf>
    <xf numFmtId="0" fontId="21" fillId="0" borderId="3" xfId="0" applyFont="1" applyBorder="1" applyAlignment="1" applyProtection="1">
      <alignment horizontal="center"/>
    </xf>
    <xf numFmtId="6" fontId="35" fillId="0" borderId="30" xfId="0" applyNumberFormat="1" applyFont="1" applyBorder="1" applyAlignment="1">
      <alignment horizontal="right" wrapText="1"/>
    </xf>
    <xf numFmtId="6" fontId="35" fillId="0" borderId="30" xfId="0" applyNumberFormat="1" applyFont="1" applyBorder="1" applyAlignment="1">
      <alignment horizontal="right"/>
    </xf>
    <xf numFmtId="6" fontId="35" fillId="0" borderId="30" xfId="0" applyNumberFormat="1" applyFont="1" applyFill="1" applyBorder="1" applyAlignment="1">
      <alignment horizontal="right"/>
    </xf>
    <xf numFmtId="8" fontId="32" fillId="0" borderId="30" xfId="0" applyNumberFormat="1" applyFont="1" applyBorder="1" applyAlignment="1">
      <alignment horizontal="right" wrapText="1"/>
    </xf>
    <xf numFmtId="0" fontId="9" fillId="0" borderId="30" xfId="0" applyFont="1" applyBorder="1" applyAlignment="1">
      <alignment horizontal="center"/>
    </xf>
    <xf numFmtId="1" fontId="29" fillId="0" borderId="0" xfId="1" applyNumberFormat="1" applyFont="1" applyFill="1" applyBorder="1" applyAlignment="1" applyProtection="1">
      <alignment horizontal="left"/>
      <protection locked="0"/>
    </xf>
    <xf numFmtId="1" fontId="36" fillId="0" borderId="34" xfId="0" applyNumberFormat="1" applyFont="1" applyFill="1" applyBorder="1" applyAlignment="1">
      <alignment horizontal="center" wrapText="1"/>
    </xf>
    <xf numFmtId="0" fontId="13" fillId="0" borderId="2" xfId="0" applyFont="1" applyBorder="1" applyAlignment="1" applyProtection="1">
      <alignment horizontal="left" vertical="top" wrapText="1"/>
    </xf>
    <xf numFmtId="0" fontId="13" fillId="0" borderId="0" xfId="0" applyFont="1" applyBorder="1" applyAlignment="1" applyProtection="1">
      <alignment horizontal="left" vertical="top" wrapText="1"/>
    </xf>
    <xf numFmtId="0" fontId="13" fillId="0" borderId="4" xfId="0" applyFont="1" applyBorder="1" applyAlignment="1" applyProtection="1">
      <alignment horizontal="left" vertical="top" wrapText="1"/>
    </xf>
    <xf numFmtId="0" fontId="13" fillId="0" borderId="5" xfId="0" applyFont="1" applyBorder="1" applyAlignment="1" applyProtection="1">
      <alignment horizontal="left" vertical="top" wrapText="1"/>
    </xf>
    <xf numFmtId="0" fontId="29" fillId="6" borderId="16" xfId="1" applyFont="1" applyFill="1" applyBorder="1" applyAlignment="1" applyProtection="1">
      <alignment horizontal="left"/>
      <protection locked="0"/>
    </xf>
    <xf numFmtId="0" fontId="29" fillId="6" borderId="31" xfId="1" applyFont="1" applyFill="1" applyBorder="1" applyAlignment="1" applyProtection="1">
      <alignment horizontal="left"/>
      <protection locked="0"/>
    </xf>
    <xf numFmtId="0" fontId="29" fillId="6" borderId="17" xfId="1" applyFont="1" applyFill="1" applyBorder="1" applyAlignment="1" applyProtection="1">
      <alignment horizontal="left"/>
      <protection locked="0"/>
    </xf>
    <xf numFmtId="1" fontId="29" fillId="6" borderId="1" xfId="1" applyNumberFormat="1" applyFont="1" applyFill="1" applyBorder="1" applyAlignment="1" applyProtection="1">
      <alignment horizontal="left"/>
      <protection locked="0"/>
    </xf>
    <xf numFmtId="164" fontId="0" fillId="0" borderId="5" xfId="0" applyNumberFormat="1" applyFill="1" applyBorder="1" applyAlignment="1" applyProtection="1">
      <alignment horizontal="center"/>
    </xf>
    <xf numFmtId="166" fontId="10"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8" fillId="0" borderId="33" xfId="0" applyFont="1" applyBorder="1" applyAlignment="1" applyProtection="1">
      <alignment horizontal="left" vertical="center" wrapText="1"/>
    </xf>
    <xf numFmtId="0" fontId="11" fillId="0" borderId="0" xfId="0" applyFont="1" applyBorder="1" applyAlignment="1" applyProtection="1">
      <alignment horizontal="right"/>
    </xf>
    <xf numFmtId="0" fontId="9" fillId="0" borderId="0" xfId="0" applyFont="1" applyBorder="1" applyAlignment="1" applyProtection="1">
      <alignment horizontal="center" vertical="center" wrapText="1"/>
    </xf>
    <xf numFmtId="0" fontId="29" fillId="6" borderId="20" xfId="1" applyFont="1" applyFill="1" applyBorder="1" applyAlignment="1" applyProtection="1">
      <alignment horizontal="center" vertical="center"/>
      <protection locked="0"/>
    </xf>
    <xf numFmtId="0" fontId="29" fillId="6" borderId="15" xfId="1" applyFont="1" applyFill="1" applyBorder="1" applyAlignment="1" applyProtection="1">
      <alignment horizontal="center" vertical="center"/>
      <protection locked="0"/>
    </xf>
    <xf numFmtId="0" fontId="29" fillId="6" borderId="14" xfId="1" applyFont="1" applyFill="1" applyBorder="1" applyAlignment="1" applyProtection="1">
      <alignment horizontal="center" vertical="center"/>
      <protection locked="0"/>
    </xf>
    <xf numFmtId="0" fontId="29" fillId="6" borderId="32" xfId="1" applyFont="1" applyFill="1" applyBorder="1" applyAlignment="1" applyProtection="1">
      <alignment horizontal="center" vertical="center"/>
      <protection locked="0"/>
    </xf>
    <xf numFmtId="0" fontId="29" fillId="6" borderId="18" xfId="1" applyFont="1" applyFill="1" applyBorder="1" applyAlignment="1" applyProtection="1">
      <alignment horizontal="center" vertical="center"/>
      <protection locked="0"/>
    </xf>
    <xf numFmtId="0" fontId="29" fillId="6" borderId="17" xfId="1" applyFont="1" applyFill="1" applyBorder="1" applyAlignment="1" applyProtection="1">
      <alignment horizontal="center" vertical="center"/>
      <protection locked="0"/>
    </xf>
    <xf numFmtId="0" fontId="29" fillId="6" borderId="16" xfId="1" applyFont="1" applyFill="1" applyBorder="1" applyAlignment="1" applyProtection="1">
      <alignment horizontal="center" vertical="center"/>
      <protection locked="0"/>
    </xf>
    <xf numFmtId="0" fontId="29" fillId="6" borderId="31" xfId="1" applyFont="1" applyFill="1" applyBorder="1" applyAlignment="1" applyProtection="1">
      <alignment horizontal="center" vertical="center"/>
      <protection locked="0"/>
    </xf>
    <xf numFmtId="0" fontId="15" fillId="0" borderId="0" xfId="0" applyFont="1" applyAlignment="1" applyProtection="1">
      <alignment horizontal="center" vertical="center"/>
    </xf>
    <xf numFmtId="0" fontId="6" fillId="0" borderId="0" xfId="0" applyFont="1" applyAlignment="1" applyProtection="1">
      <alignment horizontal="center" vertical="center"/>
    </xf>
    <xf numFmtId="0" fontId="13" fillId="0" borderId="3" xfId="0" applyFont="1" applyBorder="1" applyAlignment="1" applyProtection="1">
      <alignment horizontal="left" vertical="top" wrapText="1"/>
    </xf>
    <xf numFmtId="0" fontId="29" fillId="6" borderId="1" xfId="1" applyFont="1" applyFill="1" applyBorder="1" applyAlignment="1" applyProtection="1">
      <alignment horizontal="left"/>
      <protection locked="0"/>
    </xf>
    <xf numFmtId="0" fontId="9" fillId="0" borderId="2" xfId="0" applyFont="1" applyBorder="1" applyAlignment="1" applyProtection="1">
      <alignment horizontal="center" vertical="center" wrapText="1"/>
    </xf>
    <xf numFmtId="0" fontId="29" fillId="6" borderId="16" xfId="1" applyFont="1" applyFill="1" applyBorder="1" applyAlignment="1" applyProtection="1">
      <alignment horizontal="center"/>
      <protection locked="0"/>
    </xf>
    <xf numFmtId="0" fontId="29" fillId="6" borderId="31" xfId="1" applyFont="1" applyFill="1" applyBorder="1" applyAlignment="1" applyProtection="1">
      <alignment horizontal="center"/>
      <protection locked="0"/>
    </xf>
    <xf numFmtId="0" fontId="29" fillId="6" borderId="17" xfId="1" applyFont="1" applyFill="1" applyBorder="1" applyAlignment="1" applyProtection="1">
      <alignment horizontal="center"/>
      <protection locked="0"/>
    </xf>
    <xf numFmtId="164" fontId="10" fillId="3" borderId="0" xfId="0" applyNumberFormat="1" applyFont="1" applyFill="1" applyBorder="1" applyAlignment="1" applyProtection="1">
      <alignment horizontal="center"/>
    </xf>
    <xf numFmtId="164" fontId="10" fillId="3" borderId="5" xfId="0" applyNumberFormat="1" applyFont="1" applyFill="1" applyBorder="1" applyAlignment="1" applyProtection="1">
      <alignment horizontal="center"/>
    </xf>
    <xf numFmtId="0" fontId="18" fillId="0" borderId="0" xfId="1" applyFont="1" applyFill="1" applyBorder="1" applyAlignment="1" applyProtection="1">
      <alignment horizontal="center" vertical="center"/>
    </xf>
    <xf numFmtId="166" fontId="11" fillId="0" borderId="0" xfId="0" applyNumberFormat="1" applyFont="1" applyBorder="1" applyAlignment="1" applyProtection="1">
      <alignment horizontal="right"/>
    </xf>
    <xf numFmtId="44" fontId="6" fillId="0" borderId="0" xfId="7" applyFont="1" applyBorder="1" applyAlignment="1" applyProtection="1">
      <alignment horizontal="center"/>
    </xf>
    <xf numFmtId="44" fontId="0" fillId="0" borderId="0" xfId="7" applyFont="1" applyBorder="1" applyAlignment="1" applyProtection="1">
      <alignment horizontal="center"/>
    </xf>
    <xf numFmtId="4" fontId="10" fillId="0" borderId="0" xfId="0" applyNumberFormat="1" applyFont="1" applyBorder="1" applyAlignment="1" applyProtection="1">
      <alignment horizontal="center"/>
    </xf>
    <xf numFmtId="0" fontId="21" fillId="0" borderId="0" xfId="0" applyFont="1" applyBorder="1" applyAlignment="1" applyProtection="1">
      <alignment horizontal="center"/>
    </xf>
    <xf numFmtId="0" fontId="33" fillId="4" borderId="30" xfId="0" applyFont="1" applyFill="1" applyBorder="1" applyAlignment="1">
      <alignment horizontal="center" wrapText="1"/>
    </xf>
    <xf numFmtId="0" fontId="33" fillId="4" borderId="23" xfId="0" applyFont="1" applyFill="1" applyBorder="1" applyAlignment="1">
      <alignment horizontal="center"/>
    </xf>
    <xf numFmtId="0" fontId="33" fillId="4" borderId="12" xfId="0" applyFont="1" applyFill="1" applyBorder="1" applyAlignment="1">
      <alignment horizontal="center"/>
    </xf>
    <xf numFmtId="0" fontId="33" fillId="4" borderId="27" xfId="0" applyFont="1" applyFill="1" applyBorder="1" applyAlignment="1">
      <alignment horizontal="center" wrapText="1"/>
    </xf>
    <xf numFmtId="0" fontId="33" fillId="4" borderId="28" xfId="0" applyFont="1" applyFill="1" applyBorder="1" applyAlignment="1">
      <alignment horizontal="center" wrapText="1"/>
    </xf>
    <xf numFmtId="0" fontId="33" fillId="4" borderId="26" xfId="0" applyFont="1" applyFill="1" applyBorder="1" applyAlignment="1">
      <alignment horizontal="center" wrapText="1"/>
    </xf>
    <xf numFmtId="0" fontId="33" fillId="4" borderId="29" xfId="0" applyFont="1" applyFill="1" applyBorder="1" applyAlignment="1">
      <alignment horizontal="center" wrapText="1"/>
    </xf>
    <xf numFmtId="0" fontId="33" fillId="4" borderId="21" xfId="0" applyFont="1" applyFill="1" applyBorder="1" applyAlignment="1">
      <alignment horizontal="center" wrapText="1"/>
    </xf>
    <xf numFmtId="0" fontId="33" fillId="4" borderId="22" xfId="0" applyFont="1" applyFill="1" applyBorder="1" applyAlignment="1">
      <alignment horizontal="center" wrapText="1"/>
    </xf>
    <xf numFmtId="0" fontId="33" fillId="4" borderId="24" xfId="0" applyFont="1" applyFill="1" applyBorder="1" applyAlignment="1">
      <alignment horizontal="center" wrapText="1"/>
    </xf>
    <xf numFmtId="0" fontId="33" fillId="4" borderId="23" xfId="0" applyFont="1" applyFill="1" applyBorder="1" applyAlignment="1">
      <alignment horizontal="center" wrapText="1"/>
    </xf>
    <xf numFmtId="0" fontId="33" fillId="4" borderId="12" xfId="0" applyFont="1" applyFill="1" applyBorder="1" applyAlignment="1">
      <alignment horizontal="center" wrapText="1"/>
    </xf>
    <xf numFmtId="0" fontId="33" fillId="4" borderId="25" xfId="0" applyFont="1" applyFill="1" applyBorder="1" applyAlignment="1">
      <alignment horizontal="center" wrapText="1"/>
    </xf>
    <xf numFmtId="0" fontId="33" fillId="4" borderId="30" xfId="0" applyFont="1" applyFill="1" applyBorder="1" applyAlignment="1">
      <alignment horizontal="center"/>
    </xf>
    <xf numFmtId="0" fontId="37" fillId="4" borderId="30" xfId="0" applyFont="1" applyFill="1" applyBorder="1" applyAlignment="1">
      <alignment horizontal="center" vertical="center" wrapText="1"/>
    </xf>
    <xf numFmtId="0" fontId="9" fillId="0" borderId="30" xfId="0" applyFont="1" applyBorder="1" applyAlignment="1">
      <alignment horizontal="center"/>
    </xf>
    <xf numFmtId="0" fontId="9" fillId="0" borderId="23" xfId="0" applyFont="1" applyBorder="1" applyAlignment="1">
      <alignment horizontal="center"/>
    </xf>
    <xf numFmtId="0" fontId="9" fillId="0" borderId="12" xfId="0" applyFont="1" applyBorder="1" applyAlignment="1">
      <alignment horizontal="center"/>
    </xf>
    <xf numFmtId="0" fontId="9" fillId="0" borderId="21" xfId="0" applyFont="1" applyBorder="1" applyAlignment="1">
      <alignment horizontal="center"/>
    </xf>
    <xf numFmtId="0" fontId="9" fillId="0" borderId="27" xfId="0" applyFont="1" applyBorder="1" applyAlignment="1">
      <alignment horizontal="center"/>
    </xf>
    <xf numFmtId="0" fontId="8" fillId="0" borderId="0" xfId="0" applyFont="1" applyBorder="1" applyAlignment="1" applyProtection="1">
      <alignment vertical="center" wrapText="1"/>
    </xf>
    <xf numFmtId="22" fontId="0" fillId="0" borderId="0" xfId="0" applyNumberFormat="1" applyProtection="1"/>
    <xf numFmtId="0" fontId="40" fillId="0" borderId="0" xfId="0" applyFont="1" applyAlignment="1" applyProtection="1">
      <alignment vertical="center"/>
    </xf>
    <xf numFmtId="0" fontId="40" fillId="0" borderId="0" xfId="0" applyFont="1" applyAlignment="1" applyProtection="1">
      <alignment horizontal="right"/>
    </xf>
    <xf numFmtId="22" fontId="40" fillId="0" borderId="0" xfId="0" applyNumberFormat="1" applyFont="1" applyAlignment="1" applyProtection="1"/>
    <xf numFmtId="22" fontId="40" fillId="0" borderId="0" xfId="0" applyNumberFormat="1" applyFont="1" applyAlignment="1" applyProtection="1">
      <alignment horizontal="left"/>
    </xf>
    <xf numFmtId="0" fontId="40" fillId="0" borderId="0" xfId="0" applyFont="1" applyAlignment="1" applyProtection="1">
      <alignment horizontal="left"/>
    </xf>
    <xf numFmtId="0" fontId="0" fillId="0" borderId="0" xfId="0" applyNumberFormat="1" applyAlignment="1">
      <alignment horizontal="center"/>
    </xf>
    <xf numFmtId="0" fontId="2" fillId="0" borderId="0" xfId="0" applyNumberFormat="1" applyFont="1" applyAlignment="1">
      <alignment horizontal="center"/>
    </xf>
    <xf numFmtId="0" fontId="2" fillId="0" borderId="0" xfId="0" applyFont="1"/>
    <xf numFmtId="14" fontId="0" fillId="0" borderId="0" xfId="0" applyNumberFormat="1" applyAlignment="1">
      <alignment horizontal="center"/>
    </xf>
  </cellXfs>
  <cellStyles count="9">
    <cellStyle name="Comma 2" xfId="4" xr:uid="{00000000-0005-0000-0000-000000000000}"/>
    <cellStyle name="Currency" xfId="7" builtinId="4"/>
    <cellStyle name="Currency 2" xfId="6" xr:uid="{00000000-0005-0000-0000-000002000000}"/>
    <cellStyle name="Input" xfId="1" builtinId="20"/>
    <cellStyle name="Normal" xfId="0" builtinId="0"/>
    <cellStyle name="Normal 2" xfId="2" xr:uid="{00000000-0005-0000-0000-000005000000}"/>
    <cellStyle name="Normal 2 2" xfId="8" xr:uid="{726A9F47-3329-4B06-8383-408BFEA0B133}"/>
    <cellStyle name="Normal 3" xfId="3" xr:uid="{00000000-0005-0000-0000-000006000000}"/>
    <cellStyle name="Percent 2" xfId="5" xr:uid="{00000000-0005-0000-0000-000007000000}"/>
  </cellStyles>
  <dxfs count="0"/>
  <tableStyles count="0" defaultTableStyle="TableStyleMedium2" defaultPivotStyle="PivotStyleLight16"/>
  <colors>
    <mruColors>
      <color rgb="FFE2E9FE"/>
      <color rgb="FF031C6B"/>
      <color rgb="FF015D91"/>
      <color rgb="FFE16659"/>
      <color rgb="FFE6AA00"/>
      <color rgb="FFEEA7A0"/>
      <color rgb="FFA12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82637</xdr:colOff>
      <xdr:row>1</xdr:row>
      <xdr:rowOff>171450</xdr:rowOff>
    </xdr:from>
    <xdr:to>
      <xdr:col>3</xdr:col>
      <xdr:colOff>253504</xdr:colOff>
      <xdr:row>8</xdr:row>
      <xdr:rowOff>38100</xdr:rowOff>
    </xdr:to>
    <xdr:pic>
      <xdr:nvPicPr>
        <xdr:cNvPr id="4" name="Picture 3">
          <a:extLst>
            <a:ext uri="{FF2B5EF4-FFF2-40B4-BE49-F238E27FC236}">
              <a16:creationId xmlns:a16="http://schemas.microsoft.com/office/drawing/2014/main" id="{2700BACE-502F-4F13-96A7-112C4EBDA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6962" y="647700"/>
          <a:ext cx="1590092"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258317</xdr:colOff>
      <xdr:row>33</xdr:row>
      <xdr:rowOff>29456</xdr:rowOff>
    </xdr:to>
    <xdr:pic>
      <xdr:nvPicPr>
        <xdr:cNvPr id="2" name="Picture 1">
          <a:extLst>
            <a:ext uri="{FF2B5EF4-FFF2-40B4-BE49-F238E27FC236}">
              <a16:creationId xmlns:a16="http://schemas.microsoft.com/office/drawing/2014/main" id="{D73997F3-C6CC-4FFC-A5DE-EA02A661B08F}"/>
            </a:ext>
          </a:extLst>
        </xdr:cNvPr>
        <xdr:cNvPicPr>
          <a:picLocks noChangeAspect="1"/>
        </xdr:cNvPicPr>
      </xdr:nvPicPr>
      <xdr:blipFill>
        <a:blip xmlns:r="http://schemas.openxmlformats.org/officeDocument/2006/relationships" r:embed="rId1"/>
        <a:stretch>
          <a:fillRect/>
        </a:stretch>
      </xdr:blipFill>
      <xdr:spPr>
        <a:xfrm>
          <a:off x="0" y="0"/>
          <a:ext cx="8183117" cy="6315956"/>
        </a:xfrm>
        <a:prstGeom prst="rect">
          <a:avLst/>
        </a:prstGeom>
      </xdr:spPr>
    </xdr:pic>
    <xdr:clientData/>
  </xdr:twoCellAnchor>
  <xdr:twoCellAnchor editAs="oneCell">
    <xdr:from>
      <xdr:col>14</xdr:col>
      <xdr:colOff>0</xdr:colOff>
      <xdr:row>0</xdr:row>
      <xdr:rowOff>0</xdr:rowOff>
    </xdr:from>
    <xdr:to>
      <xdr:col>27</xdr:col>
      <xdr:colOff>325001</xdr:colOff>
      <xdr:row>33</xdr:row>
      <xdr:rowOff>58035</xdr:rowOff>
    </xdr:to>
    <xdr:pic>
      <xdr:nvPicPr>
        <xdr:cNvPr id="4" name="Picture 3">
          <a:extLst>
            <a:ext uri="{FF2B5EF4-FFF2-40B4-BE49-F238E27FC236}">
              <a16:creationId xmlns:a16="http://schemas.microsoft.com/office/drawing/2014/main" id="{EBB89B0D-7AAD-4E09-82F7-C8975B77AC15}"/>
            </a:ext>
          </a:extLst>
        </xdr:cNvPr>
        <xdr:cNvPicPr>
          <a:picLocks noChangeAspect="1"/>
        </xdr:cNvPicPr>
      </xdr:nvPicPr>
      <xdr:blipFill>
        <a:blip xmlns:r="http://schemas.openxmlformats.org/officeDocument/2006/relationships" r:embed="rId2"/>
        <a:stretch>
          <a:fillRect/>
        </a:stretch>
      </xdr:blipFill>
      <xdr:spPr>
        <a:xfrm>
          <a:off x="8534400" y="0"/>
          <a:ext cx="8249801" cy="6344535"/>
        </a:xfrm>
        <a:prstGeom prst="rect">
          <a:avLst/>
        </a:prstGeom>
      </xdr:spPr>
    </xdr:pic>
    <xdr:clientData/>
  </xdr:twoCellAnchor>
  <xdr:twoCellAnchor editAs="oneCell">
    <xdr:from>
      <xdr:col>28</xdr:col>
      <xdr:colOff>0</xdr:colOff>
      <xdr:row>0</xdr:row>
      <xdr:rowOff>0</xdr:rowOff>
    </xdr:from>
    <xdr:to>
      <xdr:col>41</xdr:col>
      <xdr:colOff>315475</xdr:colOff>
      <xdr:row>33</xdr:row>
      <xdr:rowOff>29456</xdr:rowOff>
    </xdr:to>
    <xdr:pic>
      <xdr:nvPicPr>
        <xdr:cNvPr id="6" name="Picture 5">
          <a:extLst>
            <a:ext uri="{FF2B5EF4-FFF2-40B4-BE49-F238E27FC236}">
              <a16:creationId xmlns:a16="http://schemas.microsoft.com/office/drawing/2014/main" id="{BFE1B07D-E529-4FD3-A01F-6BC68C9A4557}"/>
            </a:ext>
          </a:extLst>
        </xdr:cNvPr>
        <xdr:cNvPicPr>
          <a:picLocks noChangeAspect="1"/>
        </xdr:cNvPicPr>
      </xdr:nvPicPr>
      <xdr:blipFill>
        <a:blip xmlns:r="http://schemas.openxmlformats.org/officeDocument/2006/relationships" r:embed="rId3"/>
        <a:stretch>
          <a:fillRect/>
        </a:stretch>
      </xdr:blipFill>
      <xdr:spPr>
        <a:xfrm>
          <a:off x="17068800" y="0"/>
          <a:ext cx="8240275" cy="63159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B050"/>
    <pageSetUpPr fitToPage="1"/>
  </sheetPr>
  <dimension ref="A1:V92"/>
  <sheetViews>
    <sheetView showGridLines="0" tabSelected="1" view="pageBreakPreview" zoomScaleNormal="100" zoomScaleSheetLayoutView="100" workbookViewId="0">
      <selection activeCell="I7" sqref="I7:T7"/>
    </sheetView>
  </sheetViews>
  <sheetFormatPr defaultColWidth="9.140625" defaultRowHeight="0" customHeight="1" zeroHeight="1" x14ac:dyDescent="0.25"/>
  <cols>
    <col min="1" max="1" width="10.7109375" style="63" customWidth="1"/>
    <col min="2" max="2" width="8.7109375" style="63" customWidth="1"/>
    <col min="3" max="3" width="1.85546875" style="63" customWidth="1"/>
    <col min="4" max="4" width="10.7109375" style="63" customWidth="1"/>
    <col min="5" max="5" width="8.5703125" style="63" customWidth="1"/>
    <col min="6" max="6" width="1.7109375" style="63" customWidth="1"/>
    <col min="7" max="7" width="8.5703125" style="63" customWidth="1"/>
    <col min="8" max="8" width="1.85546875" style="63" customWidth="1"/>
    <col min="9" max="9" width="13.140625" style="63" customWidth="1"/>
    <col min="10" max="10" width="1.85546875" style="63" customWidth="1"/>
    <col min="11" max="11" width="13.140625" style="63" customWidth="1"/>
    <col min="12" max="12" width="1.7109375" style="63" customWidth="1"/>
    <col min="13" max="13" width="13.140625" style="63" customWidth="1"/>
    <col min="14" max="14" width="1.7109375" style="63" customWidth="1"/>
    <col min="15" max="15" width="15" style="63" hidden="1" customWidth="1"/>
    <col min="16" max="16" width="16.7109375" style="63" customWidth="1"/>
    <col min="17" max="17" width="2.7109375" style="63" customWidth="1"/>
    <col min="18" max="18" width="3.28515625" style="63" customWidth="1"/>
    <col min="19" max="19" width="15" style="63" hidden="1" customWidth="1"/>
    <col min="20" max="20" width="23.28515625" style="63" customWidth="1"/>
    <col min="21" max="36" width="5.7109375" style="63" customWidth="1"/>
    <col min="37" max="40" width="9.140625" style="63" customWidth="1"/>
    <col min="41" max="16384" width="9.140625" style="63"/>
  </cols>
  <sheetData>
    <row r="1" spans="1:22" ht="26.25" x14ac:dyDescent="0.25">
      <c r="A1" s="188" t="s">
        <v>25</v>
      </c>
      <c r="B1" s="188"/>
      <c r="C1" s="188"/>
      <c r="D1" s="188"/>
      <c r="E1" s="188"/>
      <c r="F1" s="188"/>
      <c r="G1" s="188"/>
      <c r="H1" s="188"/>
      <c r="I1" s="188"/>
      <c r="J1" s="188"/>
      <c r="K1" s="188"/>
      <c r="L1" s="188"/>
      <c r="M1" s="188"/>
      <c r="N1" s="188"/>
      <c r="O1" s="188"/>
      <c r="P1" s="188"/>
      <c r="Q1" s="188"/>
      <c r="R1" s="188"/>
      <c r="S1" s="188"/>
      <c r="T1" s="188"/>
    </row>
    <row r="2" spans="1:22" ht="18.75" x14ac:dyDescent="0.25">
      <c r="A2" s="189" t="s">
        <v>59</v>
      </c>
      <c r="B2" s="189"/>
      <c r="C2" s="189"/>
      <c r="D2" s="189"/>
      <c r="E2" s="189"/>
      <c r="F2" s="189"/>
      <c r="G2" s="189"/>
      <c r="H2" s="189"/>
      <c r="I2" s="189"/>
      <c r="J2" s="189"/>
      <c r="K2" s="189"/>
      <c r="L2" s="189"/>
      <c r="M2" s="189"/>
      <c r="N2" s="189"/>
      <c r="O2" s="189"/>
      <c r="P2" s="189"/>
      <c r="Q2" s="189"/>
      <c r="R2" s="189"/>
      <c r="S2" s="189"/>
      <c r="T2" s="189"/>
    </row>
    <row r="3" spans="1:22" ht="6.75" customHeight="1" x14ac:dyDescent="0.25">
      <c r="A3" s="64"/>
      <c r="B3" s="64"/>
      <c r="C3" s="64"/>
      <c r="D3" s="64"/>
      <c r="E3" s="64"/>
      <c r="F3" s="64"/>
      <c r="G3" s="64"/>
      <c r="H3" s="64"/>
      <c r="I3" s="64"/>
      <c r="J3" s="64"/>
      <c r="K3" s="64"/>
      <c r="L3" s="64"/>
      <c r="M3" s="64"/>
      <c r="N3" s="64"/>
      <c r="O3" s="64"/>
      <c r="P3" s="64"/>
      <c r="Q3" s="64"/>
      <c r="R3" s="64"/>
      <c r="S3" s="64"/>
      <c r="T3" s="64"/>
    </row>
    <row r="4" spans="1:22" ht="15" customHeight="1" x14ac:dyDescent="0.25">
      <c r="A4" s="65"/>
      <c r="B4" s="66"/>
      <c r="C4" s="66"/>
      <c r="D4" s="65"/>
      <c r="E4" s="65"/>
      <c r="F4" s="65"/>
      <c r="G4" s="67"/>
      <c r="H4" s="68" t="s">
        <v>0</v>
      </c>
      <c r="I4" s="191" t="s">
        <v>209</v>
      </c>
      <c r="J4" s="191"/>
      <c r="K4" s="191"/>
      <c r="L4" s="191"/>
      <c r="M4" s="191"/>
      <c r="N4" s="191"/>
      <c r="O4" s="191"/>
      <c r="P4" s="191"/>
      <c r="Q4" s="191"/>
      <c r="R4" s="191"/>
      <c r="S4" s="191"/>
      <c r="T4" s="191"/>
    </row>
    <row r="5" spans="1:22" ht="15" x14ac:dyDescent="0.25">
      <c r="G5" s="67"/>
      <c r="H5" s="68" t="s">
        <v>1</v>
      </c>
      <c r="I5" s="191" t="s">
        <v>254</v>
      </c>
      <c r="J5" s="191"/>
      <c r="K5" s="191"/>
      <c r="L5" s="191"/>
      <c r="M5" s="191"/>
      <c r="N5" s="191"/>
      <c r="O5" s="191"/>
      <c r="P5" s="191"/>
      <c r="Q5" s="191"/>
      <c r="R5" s="191"/>
      <c r="S5" s="191"/>
      <c r="T5" s="191"/>
    </row>
    <row r="6" spans="1:22" ht="15" customHeight="1" x14ac:dyDescent="0.25">
      <c r="E6" s="154"/>
      <c r="F6" s="154"/>
      <c r="G6" s="154"/>
      <c r="H6" s="68" t="s">
        <v>193</v>
      </c>
      <c r="I6" s="191" t="s">
        <v>211</v>
      </c>
      <c r="J6" s="191"/>
      <c r="K6" s="191"/>
      <c r="L6" s="191"/>
      <c r="M6" s="191"/>
      <c r="N6" s="191"/>
      <c r="O6" s="191"/>
      <c r="P6" s="191"/>
      <c r="Q6" s="191"/>
      <c r="R6" s="191"/>
      <c r="S6" s="191"/>
      <c r="T6" s="191"/>
      <c r="U6" s="69"/>
    </row>
    <row r="7" spans="1:22" ht="15" customHeight="1" x14ac:dyDescent="0.25">
      <c r="G7" s="67"/>
      <c r="H7" s="68" t="s">
        <v>2</v>
      </c>
      <c r="I7" s="191" t="s">
        <v>210</v>
      </c>
      <c r="J7" s="191"/>
      <c r="K7" s="191"/>
      <c r="L7" s="191"/>
      <c r="M7" s="191"/>
      <c r="N7" s="191"/>
      <c r="O7" s="191"/>
      <c r="P7" s="191"/>
      <c r="Q7" s="191"/>
      <c r="R7" s="191"/>
      <c r="S7" s="191"/>
      <c r="T7" s="191"/>
    </row>
    <row r="8" spans="1:22" ht="15" customHeight="1" x14ac:dyDescent="0.25">
      <c r="F8" s="70"/>
      <c r="G8" s="67"/>
      <c r="H8" s="71" t="s">
        <v>257</v>
      </c>
      <c r="I8" s="55" t="s">
        <v>266</v>
      </c>
      <c r="J8" s="72"/>
      <c r="K8" s="55" t="s">
        <v>267</v>
      </c>
      <c r="L8" s="73"/>
      <c r="M8" s="55" t="s">
        <v>268</v>
      </c>
      <c r="N8" s="70"/>
      <c r="O8" s="70"/>
      <c r="P8" s="177" t="s">
        <v>258</v>
      </c>
      <c r="Q8" s="177"/>
      <c r="R8" s="177"/>
      <c r="S8" s="177"/>
      <c r="T8" s="177"/>
    </row>
    <row r="9" spans="1:22" ht="15" x14ac:dyDescent="0.25">
      <c r="F9" s="70"/>
      <c r="G9" s="68"/>
      <c r="H9" s="71" t="s">
        <v>214</v>
      </c>
      <c r="I9" s="170" t="s">
        <v>269</v>
      </c>
      <c r="J9" s="171"/>
      <c r="K9" s="172"/>
      <c r="L9" s="70"/>
      <c r="M9" s="70"/>
      <c r="N9" s="70"/>
      <c r="O9" s="70"/>
      <c r="P9" s="224"/>
      <c r="Q9" s="224"/>
      <c r="R9" s="224"/>
      <c r="S9" s="224"/>
      <c r="T9" s="224"/>
    </row>
    <row r="10" spans="1:22" ht="15" customHeight="1" x14ac:dyDescent="0.25">
      <c r="A10" s="66"/>
      <c r="B10" s="66"/>
      <c r="F10" s="51"/>
      <c r="G10" s="67"/>
      <c r="H10" s="68" t="s">
        <v>47</v>
      </c>
      <c r="I10" s="173" t="s">
        <v>213</v>
      </c>
      <c r="J10" s="173"/>
      <c r="K10" s="173"/>
      <c r="M10" s="51"/>
      <c r="N10" s="51"/>
      <c r="O10" s="51"/>
      <c r="P10" s="51"/>
      <c r="Q10" s="51"/>
      <c r="T10" s="225"/>
    </row>
    <row r="11" spans="1:22" ht="6" customHeight="1" x14ac:dyDescent="0.25">
      <c r="A11" s="66"/>
      <c r="B11" s="66"/>
      <c r="F11" s="51"/>
      <c r="G11" s="67"/>
      <c r="H11" s="68"/>
      <c r="I11" s="164"/>
      <c r="J11" s="164"/>
      <c r="K11" s="164"/>
      <c r="M11" s="51"/>
      <c r="N11" s="51"/>
      <c r="O11" s="51"/>
      <c r="P11" s="51"/>
      <c r="Q11" s="51"/>
    </row>
    <row r="12" spans="1:22" ht="15" customHeight="1" x14ac:dyDescent="0.25">
      <c r="A12" s="230" t="s">
        <v>253</v>
      </c>
      <c r="B12" s="230"/>
      <c r="C12" s="230"/>
      <c r="D12" s="230"/>
      <c r="E12" s="230"/>
      <c r="F12" s="230"/>
      <c r="G12" s="230"/>
      <c r="H12" s="230"/>
      <c r="I12" s="230"/>
      <c r="J12" s="230"/>
      <c r="K12" s="230"/>
      <c r="L12" s="230"/>
      <c r="M12" s="230"/>
      <c r="N12" s="226"/>
      <c r="O12" s="226"/>
      <c r="P12" s="227" t="s">
        <v>259</v>
      </c>
      <c r="Q12" s="227"/>
      <c r="R12" s="227"/>
      <c r="S12" s="228"/>
      <c r="T12" s="229">
        <f ca="1">NOW()</f>
        <v>44363.481969791668</v>
      </c>
    </row>
    <row r="13" spans="1:22" ht="6" customHeight="1" thickBot="1" x14ac:dyDescent="0.3">
      <c r="A13" s="66"/>
      <c r="B13" s="66"/>
      <c r="C13" s="66"/>
      <c r="D13" s="66"/>
      <c r="E13" s="66"/>
      <c r="F13" s="66"/>
      <c r="G13" s="66"/>
      <c r="H13" s="66"/>
      <c r="I13" s="66"/>
      <c r="J13" s="66"/>
      <c r="K13" s="66"/>
      <c r="L13" s="66"/>
      <c r="M13" s="66"/>
      <c r="N13" s="66"/>
      <c r="O13" s="66"/>
      <c r="P13" s="69"/>
      <c r="Q13" s="69"/>
      <c r="R13" s="74"/>
      <c r="S13" s="74"/>
      <c r="T13" s="75"/>
    </row>
    <row r="14" spans="1:22" ht="19.5" thickTop="1" x14ac:dyDescent="0.25">
      <c r="A14" s="76" t="s">
        <v>217</v>
      </c>
      <c r="B14" s="77"/>
      <c r="C14" s="77"/>
      <c r="D14" s="78"/>
      <c r="E14" s="78"/>
      <c r="F14" s="77"/>
      <c r="G14" s="77"/>
      <c r="H14" s="77"/>
      <c r="I14" s="77"/>
      <c r="J14" s="77"/>
      <c r="K14" s="77"/>
      <c r="L14" s="77"/>
      <c r="M14" s="77"/>
      <c r="N14" s="77"/>
      <c r="O14" s="77"/>
      <c r="P14" s="79"/>
      <c r="Q14" s="79"/>
      <c r="R14" s="79"/>
      <c r="S14" s="79"/>
      <c r="T14" s="80"/>
    </row>
    <row r="15" spans="1:22" ht="4.5" customHeight="1" x14ac:dyDescent="0.25">
      <c r="A15" s="81"/>
      <c r="B15" s="82"/>
      <c r="C15" s="82"/>
      <c r="D15" s="82"/>
      <c r="E15" s="82"/>
      <c r="F15" s="82"/>
      <c r="G15" s="82"/>
      <c r="H15" s="82"/>
      <c r="I15" s="82"/>
      <c r="J15" s="82"/>
      <c r="K15" s="82"/>
      <c r="L15" s="82"/>
      <c r="M15" s="82"/>
      <c r="N15" s="82"/>
      <c r="O15" s="82"/>
      <c r="P15" s="69"/>
      <c r="Q15" s="69"/>
      <c r="R15" s="74"/>
      <c r="S15" s="74"/>
      <c r="T15" s="83"/>
    </row>
    <row r="16" spans="1:22" ht="15" x14ac:dyDescent="0.25">
      <c r="A16" s="84" t="s">
        <v>255</v>
      </c>
      <c r="B16" s="82"/>
      <c r="C16" s="82"/>
      <c r="D16" s="82"/>
      <c r="E16" s="82"/>
      <c r="F16" s="82"/>
      <c r="G16" s="82"/>
      <c r="H16" s="82"/>
      <c r="I16" s="82"/>
      <c r="J16" s="82"/>
      <c r="K16" s="47"/>
      <c r="L16" s="82"/>
      <c r="M16" s="85"/>
      <c r="N16" s="82"/>
      <c r="O16" s="82"/>
      <c r="P16" s="82"/>
      <c r="Q16" s="82"/>
      <c r="R16" s="69"/>
      <c r="S16" s="69"/>
      <c r="T16" s="86"/>
      <c r="U16" s="74"/>
      <c r="V16" s="75"/>
    </row>
    <row r="17" spans="1:22" ht="15" x14ac:dyDescent="0.25">
      <c r="A17" s="84" t="s">
        <v>215</v>
      </c>
      <c r="B17" s="82"/>
      <c r="C17" s="82"/>
      <c r="D17" s="82"/>
      <c r="E17" s="82"/>
      <c r="F17" s="82"/>
      <c r="G17" s="82"/>
      <c r="H17" s="82"/>
      <c r="I17" s="82"/>
      <c r="J17" s="82"/>
      <c r="K17" s="47"/>
      <c r="L17" s="82"/>
      <c r="M17" s="85" t="str">
        <f>IF(K17="Yes","There is no impact fee collected. Fill in information below.","")</f>
        <v/>
      </c>
      <c r="N17" s="82"/>
      <c r="O17" s="82"/>
      <c r="P17" s="82"/>
      <c r="Q17" s="82"/>
      <c r="R17" s="69"/>
      <c r="S17" s="69"/>
      <c r="T17" s="86"/>
      <c r="U17" s="74"/>
      <c r="V17" s="75"/>
    </row>
    <row r="18" spans="1:22" ht="15" x14ac:dyDescent="0.25">
      <c r="A18" s="84" t="s">
        <v>216</v>
      </c>
      <c r="B18" s="82"/>
      <c r="C18" s="82"/>
      <c r="D18" s="82"/>
      <c r="E18" s="82"/>
      <c r="F18" s="82"/>
      <c r="G18" s="82"/>
      <c r="H18" s="82"/>
      <c r="I18" s="82"/>
      <c r="J18" s="82"/>
      <c r="K18" s="47"/>
      <c r="L18" s="82"/>
      <c r="M18" s="85" t="str">
        <f>IF(K18="Yes","There is no impact fee collected. Fill in information below.","")</f>
        <v/>
      </c>
      <c r="N18" s="82"/>
      <c r="O18" s="82"/>
      <c r="P18" s="82"/>
      <c r="Q18" s="82"/>
      <c r="R18" s="69"/>
      <c r="S18" s="69"/>
      <c r="T18" s="86"/>
      <c r="U18" s="74"/>
      <c r="V18" s="75"/>
    </row>
    <row r="19" spans="1:22" ht="15" x14ac:dyDescent="0.25">
      <c r="A19" s="84" t="s">
        <v>218</v>
      </c>
      <c r="B19" s="82"/>
      <c r="C19" s="82"/>
      <c r="D19" s="82"/>
      <c r="E19" s="82"/>
      <c r="F19" s="82"/>
      <c r="G19" s="82"/>
      <c r="H19" s="82"/>
      <c r="I19" s="82"/>
      <c r="J19" s="82"/>
      <c r="K19" s="47"/>
      <c r="L19" s="82"/>
      <c r="M19" s="85" t="str">
        <f>IF(K19="Yes","There is no impact fee collected. Fill in information below.","")</f>
        <v/>
      </c>
      <c r="N19" s="82"/>
      <c r="O19" s="82"/>
      <c r="P19" s="82"/>
      <c r="Q19" s="82"/>
      <c r="R19" s="69"/>
      <c r="S19" s="69"/>
      <c r="T19" s="86"/>
      <c r="U19" s="74"/>
      <c r="V19" s="75"/>
    </row>
    <row r="20" spans="1:22" ht="15" x14ac:dyDescent="0.25">
      <c r="A20" s="84" t="s">
        <v>219</v>
      </c>
      <c r="B20" s="82"/>
      <c r="C20" s="82"/>
      <c r="D20" s="82"/>
      <c r="E20" s="82"/>
      <c r="F20" s="82"/>
      <c r="G20" s="82"/>
      <c r="H20" s="82"/>
      <c r="I20" s="82"/>
      <c r="J20" s="82"/>
      <c r="K20" s="47"/>
      <c r="L20" s="82"/>
      <c r="M20" s="85" t="str">
        <f>IF(K20="Yes","A 50% discount will be applied to impact fee costs.","")</f>
        <v/>
      </c>
      <c r="N20" s="82"/>
      <c r="O20" s="82"/>
      <c r="P20" s="82"/>
      <c r="Q20" s="82"/>
      <c r="R20" s="69"/>
      <c r="S20" s="69"/>
      <c r="T20" s="86"/>
      <c r="U20" s="74"/>
      <c r="V20" s="75"/>
    </row>
    <row r="21" spans="1:22" ht="7.5" customHeight="1" thickBot="1" x14ac:dyDescent="0.3">
      <c r="A21" s="87"/>
      <c r="B21" s="88"/>
      <c r="C21" s="88"/>
      <c r="D21" s="88"/>
      <c r="E21" s="88"/>
      <c r="F21" s="88"/>
      <c r="G21" s="88"/>
      <c r="H21" s="88"/>
      <c r="I21" s="88"/>
      <c r="J21" s="88"/>
      <c r="K21" s="89"/>
      <c r="L21" s="88"/>
      <c r="M21" s="90"/>
      <c r="N21" s="88"/>
      <c r="O21" s="88"/>
      <c r="P21" s="88"/>
      <c r="Q21" s="88"/>
      <c r="R21" s="89"/>
      <c r="S21" s="89"/>
      <c r="T21" s="91"/>
      <c r="U21" s="74"/>
      <c r="V21" s="75"/>
    </row>
    <row r="22" spans="1:22" ht="18.75" thickTop="1" thickBot="1" x14ac:dyDescent="0.35">
      <c r="A22" s="82"/>
      <c r="B22" s="82"/>
      <c r="C22" s="82"/>
      <c r="D22" s="82"/>
      <c r="E22" s="82"/>
      <c r="F22" s="92"/>
      <c r="G22" s="82"/>
      <c r="H22" s="82"/>
      <c r="I22" s="82"/>
      <c r="J22" s="82"/>
      <c r="K22" s="69"/>
      <c r="L22" s="93"/>
      <c r="M22" s="92"/>
      <c r="N22" s="92"/>
      <c r="O22" s="92"/>
      <c r="P22" s="92"/>
      <c r="Q22" s="94"/>
      <c r="R22" s="95"/>
      <c r="S22" s="95"/>
      <c r="T22" s="95"/>
    </row>
    <row r="23" spans="1:22" ht="19.5" thickTop="1" x14ac:dyDescent="0.25">
      <c r="A23" s="76" t="s">
        <v>26</v>
      </c>
      <c r="B23" s="77"/>
      <c r="C23" s="77"/>
      <c r="D23" s="78"/>
      <c r="E23" s="78"/>
      <c r="F23" s="77"/>
      <c r="G23" s="77"/>
      <c r="H23" s="77"/>
      <c r="I23" s="77"/>
      <c r="J23" s="77"/>
      <c r="K23" s="77"/>
      <c r="L23" s="77"/>
      <c r="M23" s="77"/>
      <c r="N23" s="77"/>
      <c r="O23" s="77"/>
      <c r="P23" s="79"/>
      <c r="Q23" s="79"/>
      <c r="R23" s="79"/>
      <c r="S23" s="79"/>
      <c r="T23" s="80"/>
    </row>
    <row r="24" spans="1:22" s="101" customFormat="1" ht="13.5" customHeight="1" x14ac:dyDescent="0.2">
      <c r="A24" s="96"/>
      <c r="B24" s="97"/>
      <c r="C24" s="97"/>
      <c r="D24" s="98"/>
      <c r="E24" s="98"/>
      <c r="F24" s="99"/>
      <c r="G24" s="97"/>
      <c r="H24" s="97"/>
      <c r="I24" s="97"/>
      <c r="J24" s="97"/>
      <c r="K24" s="99" t="s">
        <v>6</v>
      </c>
      <c r="L24" s="99"/>
      <c r="M24" s="99" t="s">
        <v>7</v>
      </c>
      <c r="N24" s="99"/>
      <c r="O24" s="99"/>
      <c r="P24" s="203" t="s">
        <v>48</v>
      </c>
      <c r="Q24" s="203"/>
      <c r="R24" s="100"/>
      <c r="S24" s="100"/>
      <c r="T24" s="158" t="s">
        <v>49</v>
      </c>
    </row>
    <row r="25" spans="1:22" ht="42" customHeight="1" x14ac:dyDescent="0.25">
      <c r="A25" s="192" t="s">
        <v>20</v>
      </c>
      <c r="B25" s="179"/>
      <c r="C25" s="102"/>
      <c r="D25" s="179" t="s">
        <v>3</v>
      </c>
      <c r="E25" s="179"/>
      <c r="F25" s="179"/>
      <c r="G25" s="179"/>
      <c r="H25" s="102"/>
      <c r="I25" s="102" t="s">
        <v>4</v>
      </c>
      <c r="J25" s="102"/>
      <c r="K25" s="102" t="s">
        <v>5</v>
      </c>
      <c r="L25" s="102"/>
      <c r="M25" s="102" t="s">
        <v>34</v>
      </c>
      <c r="N25" s="102"/>
      <c r="O25" s="102"/>
      <c r="P25" s="179" t="s">
        <v>45</v>
      </c>
      <c r="Q25" s="179"/>
      <c r="R25" s="103"/>
      <c r="S25" s="102" t="s">
        <v>244</v>
      </c>
      <c r="T25" s="106" t="s">
        <v>194</v>
      </c>
    </row>
    <row r="26" spans="1:22" ht="6" customHeight="1" x14ac:dyDescent="0.25">
      <c r="A26" s="104"/>
      <c r="B26" s="105"/>
      <c r="C26" s="102"/>
      <c r="D26" s="105"/>
      <c r="E26" s="105"/>
      <c r="F26" s="102"/>
      <c r="G26" s="105"/>
      <c r="H26" s="102"/>
      <c r="I26" s="102"/>
      <c r="J26" s="102"/>
      <c r="K26" s="105"/>
      <c r="L26" s="102"/>
      <c r="M26" s="102"/>
      <c r="N26" s="102"/>
      <c r="O26" s="102"/>
      <c r="P26" s="102"/>
      <c r="Q26" s="102"/>
      <c r="R26" s="102"/>
      <c r="S26" s="102"/>
      <c r="T26" s="106"/>
    </row>
    <row r="27" spans="1:22" ht="15" x14ac:dyDescent="0.25">
      <c r="A27" s="184"/>
      <c r="B27" s="185"/>
      <c r="C27" s="85"/>
      <c r="D27" s="193"/>
      <c r="E27" s="194"/>
      <c r="F27" s="194"/>
      <c r="G27" s="195"/>
      <c r="H27" s="85"/>
      <c r="I27" s="107" t="str">
        <f>IF(D27="","",VLOOKUP(D27,'Land Use Equivalency Table'!$B$4:$G$74,3,0))</f>
        <v/>
      </c>
      <c r="J27" s="85"/>
      <c r="K27" s="39"/>
      <c r="L27" s="85"/>
      <c r="M27" s="108" t="str">
        <f>IF(D27="","",VLOOKUP(D27,'Land Use Equivalency Table'!$B$4:$G$74,6,0))</f>
        <v/>
      </c>
      <c r="N27" s="107"/>
      <c r="O27" s="107"/>
      <c r="P27" s="202" t="str">
        <f t="shared" ref="P27:P36" si="0">IF(D27="","",M27*IF(I27="1000 sq ft",K27/1000,K27))</f>
        <v/>
      </c>
      <c r="Q27" s="202"/>
      <c r="R27" s="69"/>
      <c r="S27" s="109" t="str">
        <f>IF($E$44="N/A","",IF(P27="","",ROUNDDOWN(VLOOKUP($I$10,'Collection Rates'!$A$5:$B$15,2,FALSE)*P27,2)))</f>
        <v/>
      </c>
      <c r="T27" s="111" t="str">
        <f>IF($E$44="N/A","",IF(P27="","",ROUNDDOWN($E$44*P27,2)))</f>
        <v/>
      </c>
    </row>
    <row r="28" spans="1:22" ht="15" x14ac:dyDescent="0.25">
      <c r="A28" s="184"/>
      <c r="B28" s="185"/>
      <c r="C28" s="85"/>
      <c r="D28" s="193"/>
      <c r="E28" s="194"/>
      <c r="F28" s="194"/>
      <c r="G28" s="195"/>
      <c r="H28" s="85"/>
      <c r="I28" s="107" t="str">
        <f>IF(D28="","",VLOOKUP(D28,'Land Use Equivalency Table'!$B$4:$G$74,3,0))</f>
        <v/>
      </c>
      <c r="J28" s="85"/>
      <c r="K28" s="39"/>
      <c r="L28" s="85"/>
      <c r="M28" s="108" t="str">
        <f>IF(D28="","",VLOOKUP(D28,'Land Use Equivalency Table'!$B$4:$G$74,6,0))</f>
        <v/>
      </c>
      <c r="N28" s="107"/>
      <c r="O28" s="107"/>
      <c r="P28" s="202" t="str">
        <f t="shared" si="0"/>
        <v/>
      </c>
      <c r="Q28" s="202"/>
      <c r="R28" s="109"/>
      <c r="S28" s="109" t="str">
        <f>IF($E$44="N/A","",IF(P28="","",ROUNDDOWN(VLOOKUP($I$10,'Collection Rates'!$A$5:$B$15,2,FALSE)*P28,2)))</f>
        <v/>
      </c>
      <c r="T28" s="111" t="str">
        <f t="shared" ref="T28:T36" si="1">IF($E$44="N/A","",IF(P28="","",ROUNDDOWN($E$44*P28,2)))</f>
        <v/>
      </c>
    </row>
    <row r="29" spans="1:22" ht="15" x14ac:dyDescent="0.25">
      <c r="A29" s="184"/>
      <c r="B29" s="185"/>
      <c r="C29" s="85"/>
      <c r="D29" s="186"/>
      <c r="E29" s="187"/>
      <c r="F29" s="187"/>
      <c r="G29" s="185"/>
      <c r="H29" s="85"/>
      <c r="I29" s="107" t="str">
        <f>IF(D29="","",VLOOKUP(D29,'Land Use Equivalency Table'!$B$4:$G$74,3,0))</f>
        <v/>
      </c>
      <c r="J29" s="85"/>
      <c r="K29" s="39"/>
      <c r="L29" s="85"/>
      <c r="M29" s="108" t="str">
        <f>IF(D29="","",VLOOKUP(D29,'Land Use Equivalency Table'!$B$4:$G$74,6,0))</f>
        <v/>
      </c>
      <c r="N29" s="107"/>
      <c r="O29" s="107"/>
      <c r="P29" s="202" t="str">
        <f t="shared" si="0"/>
        <v/>
      </c>
      <c r="Q29" s="202"/>
      <c r="R29" s="109"/>
      <c r="S29" s="109" t="str">
        <f>IF($E$44="N/A","",IF(P29="","",ROUNDDOWN(VLOOKUP($I$10,'Collection Rates'!$A$5:$B$15,2,FALSE)*P29,2)))</f>
        <v/>
      </c>
      <c r="T29" s="111" t="str">
        <f t="shared" si="1"/>
        <v/>
      </c>
    </row>
    <row r="30" spans="1:22" ht="15" x14ac:dyDescent="0.25">
      <c r="A30" s="184"/>
      <c r="B30" s="185"/>
      <c r="C30" s="85"/>
      <c r="D30" s="186"/>
      <c r="E30" s="187"/>
      <c r="F30" s="187"/>
      <c r="G30" s="185"/>
      <c r="H30" s="85"/>
      <c r="I30" s="107" t="str">
        <f>IF(D30="","",VLOOKUP(D30,'Land Use Equivalency Table'!$B$4:$G$74,3,0))</f>
        <v/>
      </c>
      <c r="J30" s="85"/>
      <c r="K30" s="39"/>
      <c r="L30" s="85"/>
      <c r="M30" s="108" t="str">
        <f>IF(D30="","",VLOOKUP(D30,'Land Use Equivalency Table'!$B$4:$G$74,6,0))</f>
        <v/>
      </c>
      <c r="N30" s="107"/>
      <c r="O30" s="107"/>
      <c r="P30" s="202" t="str">
        <f t="shared" si="0"/>
        <v/>
      </c>
      <c r="Q30" s="202"/>
      <c r="R30" s="109"/>
      <c r="S30" s="109" t="str">
        <f>IF($E$44="N/A","",IF(P30="","",ROUNDDOWN(VLOOKUP($I$10,'Collection Rates'!$A$5:$B$15,2,FALSE)*P30,2)))</f>
        <v/>
      </c>
      <c r="T30" s="111" t="str">
        <f t="shared" si="1"/>
        <v/>
      </c>
    </row>
    <row r="31" spans="1:22" ht="15" x14ac:dyDescent="0.25">
      <c r="A31" s="184"/>
      <c r="B31" s="185"/>
      <c r="C31" s="85"/>
      <c r="D31" s="186"/>
      <c r="E31" s="187"/>
      <c r="F31" s="187"/>
      <c r="G31" s="185"/>
      <c r="H31" s="85"/>
      <c r="I31" s="107" t="str">
        <f>IF(D31="","",VLOOKUP(D31,'Land Use Equivalency Table'!$B$4:$G$74,3,0))</f>
        <v/>
      </c>
      <c r="J31" s="85"/>
      <c r="K31" s="39"/>
      <c r="L31" s="85"/>
      <c r="M31" s="108" t="str">
        <f>IF(D31="","",VLOOKUP(D31,'Land Use Equivalency Table'!$B$4:$G$74,6,0))</f>
        <v/>
      </c>
      <c r="N31" s="107"/>
      <c r="O31" s="107"/>
      <c r="P31" s="202" t="str">
        <f t="shared" si="0"/>
        <v/>
      </c>
      <c r="Q31" s="202"/>
      <c r="R31" s="109"/>
      <c r="S31" s="109" t="str">
        <f>IF($E$44="N/A","",IF(P31="","",ROUNDDOWN(VLOOKUP($I$10,'Collection Rates'!$A$5:$B$15,2,FALSE)*P31,2)))</f>
        <v/>
      </c>
      <c r="T31" s="111" t="str">
        <f t="shared" si="1"/>
        <v/>
      </c>
    </row>
    <row r="32" spans="1:22" ht="15" x14ac:dyDescent="0.25">
      <c r="A32" s="184"/>
      <c r="B32" s="185"/>
      <c r="C32" s="85"/>
      <c r="D32" s="186"/>
      <c r="E32" s="187"/>
      <c r="F32" s="187"/>
      <c r="G32" s="185"/>
      <c r="H32" s="85"/>
      <c r="I32" s="107" t="str">
        <f>IF(D32="","",VLOOKUP(D32,'Land Use Equivalency Table'!$B$4:$G$74,3,0))</f>
        <v/>
      </c>
      <c r="J32" s="85"/>
      <c r="K32" s="39"/>
      <c r="L32" s="85"/>
      <c r="M32" s="108" t="str">
        <f>IF(D32="","",VLOOKUP(D32,'Land Use Equivalency Table'!$B$4:$G$74,6,0))</f>
        <v/>
      </c>
      <c r="N32" s="107"/>
      <c r="O32" s="107"/>
      <c r="P32" s="202" t="str">
        <f t="shared" si="0"/>
        <v/>
      </c>
      <c r="Q32" s="202"/>
      <c r="R32" s="109"/>
      <c r="S32" s="109" t="str">
        <f>IF($E$44="N/A","",IF(P32="","",ROUNDDOWN(VLOOKUP($I$10,'Collection Rates'!$A$5:$B$15,2,FALSE)*P32,2)))</f>
        <v/>
      </c>
      <c r="T32" s="111" t="str">
        <f t="shared" si="1"/>
        <v/>
      </c>
    </row>
    <row r="33" spans="1:21" ht="15" x14ac:dyDescent="0.25">
      <c r="A33" s="184"/>
      <c r="B33" s="185"/>
      <c r="C33" s="85"/>
      <c r="D33" s="186"/>
      <c r="E33" s="187"/>
      <c r="F33" s="187"/>
      <c r="G33" s="185"/>
      <c r="H33" s="85"/>
      <c r="I33" s="107" t="str">
        <f>IF(D33="","",VLOOKUP(D33,'Land Use Equivalency Table'!$B$4:$G$74,3,0))</f>
        <v/>
      </c>
      <c r="J33" s="85"/>
      <c r="K33" s="39"/>
      <c r="L33" s="85"/>
      <c r="M33" s="108" t="str">
        <f>IF(D33="","",VLOOKUP(D33,'Land Use Equivalency Table'!$B$4:$G$74,6,0))</f>
        <v/>
      </c>
      <c r="N33" s="107"/>
      <c r="O33" s="107"/>
      <c r="P33" s="202" t="str">
        <f t="shared" si="0"/>
        <v/>
      </c>
      <c r="Q33" s="202"/>
      <c r="R33" s="109"/>
      <c r="S33" s="109" t="str">
        <f>IF($E$44="N/A","",IF(P33="","",ROUNDDOWN(VLOOKUP($I$10,'Collection Rates'!$A$5:$B$15,2,FALSE)*P33,2)))</f>
        <v/>
      </c>
      <c r="T33" s="111" t="str">
        <f t="shared" si="1"/>
        <v/>
      </c>
    </row>
    <row r="34" spans="1:21" ht="15" x14ac:dyDescent="0.25">
      <c r="A34" s="184"/>
      <c r="B34" s="185"/>
      <c r="C34" s="85"/>
      <c r="D34" s="186"/>
      <c r="E34" s="187"/>
      <c r="F34" s="187"/>
      <c r="G34" s="185"/>
      <c r="H34" s="85"/>
      <c r="I34" s="107" t="str">
        <f>IF(D34="","",VLOOKUP(D34,'Land Use Equivalency Table'!$B$4:$G$74,3,0))</f>
        <v/>
      </c>
      <c r="J34" s="85"/>
      <c r="K34" s="39"/>
      <c r="L34" s="85"/>
      <c r="M34" s="108" t="str">
        <f>IF(D34="","",VLOOKUP(D34,'Land Use Equivalency Table'!$B$4:$G$74,6,0))</f>
        <v/>
      </c>
      <c r="N34" s="107"/>
      <c r="O34" s="107"/>
      <c r="P34" s="202" t="str">
        <f t="shared" si="0"/>
        <v/>
      </c>
      <c r="Q34" s="202"/>
      <c r="R34" s="109"/>
      <c r="S34" s="109" t="str">
        <f>IF($E$44="N/A","",IF(P34="","",ROUNDDOWN(VLOOKUP($I$10,'Collection Rates'!$A$5:$B$15,2,FALSE)*P34,2)))</f>
        <v/>
      </c>
      <c r="T34" s="111" t="str">
        <f t="shared" si="1"/>
        <v/>
      </c>
    </row>
    <row r="35" spans="1:21" ht="15" x14ac:dyDescent="0.25">
      <c r="A35" s="184"/>
      <c r="B35" s="185"/>
      <c r="C35" s="85"/>
      <c r="D35" s="186"/>
      <c r="E35" s="187"/>
      <c r="F35" s="187"/>
      <c r="G35" s="185"/>
      <c r="H35" s="85"/>
      <c r="I35" s="107" t="str">
        <f>IF(D35="","",VLOOKUP(D35,'Land Use Equivalency Table'!$B$4:$G$74,3,0))</f>
        <v/>
      </c>
      <c r="J35" s="85"/>
      <c r="K35" s="39"/>
      <c r="L35" s="85"/>
      <c r="M35" s="108" t="str">
        <f>IF(D35="","",VLOOKUP(D35,'Land Use Equivalency Table'!$B$4:$G$74,6,0))</f>
        <v/>
      </c>
      <c r="N35" s="107"/>
      <c r="O35" s="107"/>
      <c r="P35" s="202" t="str">
        <f t="shared" si="0"/>
        <v/>
      </c>
      <c r="Q35" s="202"/>
      <c r="R35" s="109"/>
      <c r="S35" s="109" t="str">
        <f>IF($E$44="N/A","",IF(P35="","",ROUNDDOWN(VLOOKUP($I$10,'Collection Rates'!$A$5:$B$15,2,FALSE)*P35,2)))</f>
        <v/>
      </c>
      <c r="T35" s="111" t="str">
        <f t="shared" si="1"/>
        <v/>
      </c>
    </row>
    <row r="36" spans="1:21" ht="15" x14ac:dyDescent="0.25">
      <c r="A36" s="184"/>
      <c r="B36" s="185"/>
      <c r="C36" s="85"/>
      <c r="D36" s="186"/>
      <c r="E36" s="187"/>
      <c r="F36" s="187"/>
      <c r="G36" s="185"/>
      <c r="H36" s="85"/>
      <c r="I36" s="107" t="str">
        <f>IF(D36="","",VLOOKUP(D36,'Land Use Equivalency Table'!$B$4:$G$74,3,0))</f>
        <v/>
      </c>
      <c r="J36" s="85"/>
      <c r="K36" s="39"/>
      <c r="L36" s="85"/>
      <c r="M36" s="108" t="str">
        <f>IF(D36="","",VLOOKUP(D36,'Land Use Equivalency Table'!$B$4:$G$74,6,0))</f>
        <v/>
      </c>
      <c r="N36" s="107"/>
      <c r="O36" s="107"/>
      <c r="P36" s="202" t="str">
        <f t="shared" si="0"/>
        <v/>
      </c>
      <c r="Q36" s="202"/>
      <c r="R36" s="109"/>
      <c r="S36" s="109" t="str">
        <f>IF($E$44="N/A","",IF(P36="","",ROUNDDOWN(VLOOKUP($I$10,'Collection Rates'!$A$5:$B$15,2,FALSE)*P36,2)))</f>
        <v/>
      </c>
      <c r="T36" s="111" t="str">
        <f t="shared" si="1"/>
        <v/>
      </c>
    </row>
    <row r="37" spans="1:21" ht="15" x14ac:dyDescent="0.25">
      <c r="A37" s="81"/>
      <c r="B37" s="82"/>
      <c r="C37" s="82"/>
      <c r="D37" s="82"/>
      <c r="E37" s="82"/>
      <c r="F37" s="82"/>
      <c r="G37" s="82"/>
      <c r="H37" s="82"/>
      <c r="I37" s="82"/>
      <c r="J37" s="82"/>
      <c r="K37" s="82"/>
      <c r="L37" s="82"/>
      <c r="M37" s="82"/>
      <c r="N37" s="82"/>
      <c r="O37" s="82"/>
      <c r="P37" s="110"/>
      <c r="Q37" s="69"/>
      <c r="R37" s="69"/>
      <c r="S37" s="69"/>
      <c r="T37" s="86"/>
    </row>
    <row r="38" spans="1:21" ht="53.25" customHeight="1" x14ac:dyDescent="0.25">
      <c r="A38" s="166" t="s">
        <v>197</v>
      </c>
      <c r="B38" s="167"/>
      <c r="C38" s="167"/>
      <c r="D38" s="167"/>
      <c r="E38" s="167"/>
      <c r="F38" s="167"/>
      <c r="G38" s="167"/>
      <c r="H38" s="167"/>
      <c r="I38" s="167"/>
      <c r="J38" s="167"/>
      <c r="K38" s="167"/>
      <c r="L38" s="167"/>
      <c r="M38" s="167"/>
      <c r="N38" s="167"/>
      <c r="O38" s="167"/>
      <c r="P38" s="167"/>
      <c r="Q38" s="167"/>
      <c r="R38" s="167"/>
      <c r="S38" s="167"/>
      <c r="T38" s="190"/>
    </row>
    <row r="39" spans="1:21" ht="15" x14ac:dyDescent="0.25">
      <c r="A39" s="180"/>
      <c r="B39" s="181"/>
      <c r="C39" s="85"/>
      <c r="D39" s="182"/>
      <c r="E39" s="183"/>
      <c r="F39" s="183"/>
      <c r="G39" s="181"/>
      <c r="H39" s="85"/>
      <c r="I39" s="40"/>
      <c r="J39" s="85"/>
      <c r="K39" s="40"/>
      <c r="L39" s="85"/>
      <c r="M39" s="40"/>
      <c r="N39" s="85"/>
      <c r="O39" s="85"/>
      <c r="P39" s="202" t="str">
        <f>IF(D39="","",IF(I39="1000 sq ft",ROUND(K39*M39/1000,2),K39*M39))</f>
        <v/>
      </c>
      <c r="Q39" s="202"/>
      <c r="R39" s="109" t="str">
        <f>IF(P39="","",IF($E$44="","Select Service Area",ROUNDDOWN($E$44*P39,2)))</f>
        <v/>
      </c>
      <c r="S39" s="109"/>
      <c r="T39" s="111" t="str">
        <f>IF($E$44="N/A","",IF(P39="","",ROUNDDOWN($E$44*P39,2)))</f>
        <v/>
      </c>
    </row>
    <row r="40" spans="1:21" ht="15" x14ac:dyDescent="0.25">
      <c r="A40" s="180"/>
      <c r="B40" s="181"/>
      <c r="C40" s="85"/>
      <c r="D40" s="182"/>
      <c r="E40" s="183"/>
      <c r="F40" s="183"/>
      <c r="G40" s="181"/>
      <c r="H40" s="85"/>
      <c r="I40" s="40"/>
      <c r="J40" s="85"/>
      <c r="K40" s="40"/>
      <c r="L40" s="85"/>
      <c r="M40" s="40"/>
      <c r="N40" s="85"/>
      <c r="O40" s="85"/>
      <c r="P40" s="202" t="str">
        <f>IF(D40="","",IF(I40="1000 GFA",ROUND(K40*M40/1000,2),K40*M40))</f>
        <v/>
      </c>
      <c r="Q40" s="202"/>
      <c r="R40" s="109" t="str">
        <f>IF(P40="","",IF($E$44="","Select Service Area",ROUNDDOWN($E$44*P40,2)))</f>
        <v/>
      </c>
      <c r="S40" s="109"/>
      <c r="T40" s="111" t="str">
        <f t="shared" ref="T40:T41" si="2">IF($E$44="N/A","",IF(P40="","",ROUNDDOWN($E$44*P40,2)))</f>
        <v/>
      </c>
    </row>
    <row r="41" spans="1:21" ht="15" x14ac:dyDescent="0.25">
      <c r="A41" s="180"/>
      <c r="B41" s="181"/>
      <c r="C41" s="112"/>
      <c r="D41" s="182"/>
      <c r="E41" s="183"/>
      <c r="F41" s="183"/>
      <c r="G41" s="181"/>
      <c r="H41" s="85"/>
      <c r="I41" s="40"/>
      <c r="J41" s="85"/>
      <c r="K41" s="40"/>
      <c r="L41" s="85"/>
      <c r="M41" s="40"/>
      <c r="N41" s="85"/>
      <c r="O41" s="85"/>
      <c r="P41" s="202" t="str">
        <f>IF(D41="","",IF(I41="1000 GFA",ROUND(K41*M41/1000,2),K41*M41))</f>
        <v/>
      </c>
      <c r="Q41" s="202"/>
      <c r="R41" s="109" t="str">
        <f>IF(P41="","",IF($E$44="","Select Service Area",ROUNDDOWN($E$44*P41,2)))</f>
        <v/>
      </c>
      <c r="S41" s="109"/>
      <c r="T41" s="111" t="str">
        <f t="shared" si="2"/>
        <v/>
      </c>
    </row>
    <row r="42" spans="1:21" ht="15" x14ac:dyDescent="0.25">
      <c r="A42" s="81"/>
      <c r="B42" s="82"/>
      <c r="C42" s="82"/>
      <c r="D42" s="82"/>
      <c r="E42" s="82"/>
      <c r="F42" s="82"/>
      <c r="G42" s="82"/>
      <c r="H42" s="82"/>
      <c r="I42" s="82"/>
      <c r="J42" s="82"/>
      <c r="K42" s="82"/>
      <c r="L42" s="82"/>
      <c r="M42" s="82"/>
      <c r="N42" s="82"/>
      <c r="O42" s="82"/>
      <c r="P42" s="110"/>
      <c r="Q42" s="69"/>
      <c r="R42" s="69"/>
      <c r="S42" s="69"/>
      <c r="T42" s="86"/>
    </row>
    <row r="43" spans="1:21" ht="17.25" x14ac:dyDescent="0.3">
      <c r="A43" s="81"/>
      <c r="B43" s="82"/>
      <c r="C43" s="82"/>
      <c r="D43" s="82"/>
      <c r="E43" s="82"/>
      <c r="F43" s="82"/>
      <c r="G43" s="82"/>
      <c r="H43" s="82"/>
      <c r="I43" s="178" t="str">
        <f>IF(K20="Yes","CALCULATED ROADWAY IMPACT FEE WITH 50% DISCOUNT:","CALCULATED ROADWAY IMPACT FEE:")</f>
        <v>CALCULATED ROADWAY IMPACT FEE:</v>
      </c>
      <c r="J43" s="178"/>
      <c r="K43" s="178"/>
      <c r="L43" s="178"/>
      <c r="M43" s="178"/>
      <c r="N43" s="178"/>
      <c r="O43" s="178"/>
      <c r="P43" s="178"/>
      <c r="Q43" s="94"/>
      <c r="R43" s="69"/>
      <c r="S43" s="113">
        <f>SUM(S27:S36,S39:S41)</f>
        <v>0</v>
      </c>
      <c r="T43" s="131">
        <f>IF(OR(K17="Yes",K18="Yes",K19="Yes"),0,IF(K20="Yes",0.5*SUM(T27:T36,T39:T41),SUM(T27:T36,T39:T41)))</f>
        <v>0</v>
      </c>
    </row>
    <row r="44" spans="1:21" ht="15.75" thickBot="1" x14ac:dyDescent="0.3">
      <c r="A44" s="114"/>
      <c r="B44" s="115"/>
      <c r="C44" s="115"/>
      <c r="D44" s="116" t="s">
        <v>227</v>
      </c>
      <c r="E44" s="197">
        <f>IF(I8="Enter Month",0,IF(I9="ETJ","N/A",IF(I10="Enter Roadway Service Area #",0,IF(K16="No",VLOOKUP(I10,'Collection Rates'!$A$5:$G$15,7,FALSE),IF(AND(DATE(M8,I8,K8)&gt;=Hidden!K3,DATE(M8,I8,K8)&lt;=Hidden!L3),VLOOKUP(I10,'Collection Rates'!$A$5:$G$15,7,FALSE)*0.2,IF(AND(DATE(M8,I8,K8)&gt;=Hidden!K4,DATE(M8,I8,K8)&lt;=Hidden!L4),VLOOKUP(I10,'Collection Rates'!$A$5:$G$15,7,FALSE)*0.4,IF(AND(DATE(M8,I8,K8)&gt;=Hidden!K5,DATE(M8,I8,K8)&lt;=Hidden!L5),VLOOKUP(I10,'Collection Rates'!$A$5:$G$15,7,FALSE)*0.6,IF(AND(DATE(M8,I8,K8)&gt;=Hidden!K6,DATE(M8,I8,K8)&lt;=Hidden!L6),VLOOKUP(I10,'Collection Rates'!$A$5:$G$15,7,FALSE)*0.8,IF(AND(DATE(M8,I8,K8)&gt;=Hidden!K7,DATE(M8,I8,K8)&lt;=Hidden!L7),VLOOKUP(I10,'Collection Rates'!$A$5:$G$15,7,FALSE)*1,"-")))))))))</f>
        <v>0</v>
      </c>
      <c r="F44" s="197"/>
      <c r="G44" s="197"/>
      <c r="H44" s="89"/>
      <c r="I44" s="89"/>
      <c r="J44" s="89"/>
      <c r="K44" s="89"/>
      <c r="L44" s="89"/>
      <c r="M44" s="89"/>
      <c r="N44" s="89"/>
      <c r="O44" s="89"/>
      <c r="P44" s="117"/>
      <c r="Q44" s="117"/>
      <c r="R44" s="89"/>
      <c r="S44" s="89"/>
      <c r="T44" s="91"/>
    </row>
    <row r="45" spans="1:21" ht="18.75" thickTop="1" thickBot="1" x14ac:dyDescent="0.35">
      <c r="A45" s="82"/>
      <c r="B45" s="82"/>
      <c r="C45" s="82"/>
      <c r="D45" s="82"/>
      <c r="E45" s="82"/>
      <c r="F45" s="92"/>
      <c r="G45" s="82"/>
      <c r="H45" s="82"/>
      <c r="I45" s="82"/>
      <c r="J45" s="82"/>
      <c r="K45" s="69"/>
      <c r="L45" s="93"/>
      <c r="M45" s="92"/>
      <c r="N45" s="92"/>
      <c r="O45" s="92"/>
      <c r="P45" s="92"/>
      <c r="Q45" s="94"/>
      <c r="R45" s="95"/>
      <c r="S45" s="95"/>
      <c r="T45" s="95"/>
    </row>
    <row r="46" spans="1:21" ht="19.5" thickTop="1" x14ac:dyDescent="0.25">
      <c r="A46" s="76" t="s">
        <v>46</v>
      </c>
      <c r="B46" s="79"/>
      <c r="C46" s="79"/>
      <c r="D46" s="79"/>
      <c r="E46" s="79"/>
      <c r="F46" s="79"/>
      <c r="G46" s="79"/>
      <c r="H46" s="77"/>
      <c r="I46" s="77"/>
      <c r="J46" s="77"/>
      <c r="K46" s="77"/>
      <c r="L46" s="77"/>
      <c r="M46" s="77"/>
      <c r="N46" s="79"/>
      <c r="O46" s="79"/>
      <c r="P46" s="79"/>
      <c r="Q46" s="79"/>
      <c r="R46" s="79"/>
      <c r="S46" s="79"/>
      <c r="T46" s="80"/>
      <c r="U46" s="69"/>
    </row>
    <row r="47" spans="1:21" ht="42" customHeight="1" x14ac:dyDescent="0.25">
      <c r="A47" s="118"/>
      <c r="B47" s="69"/>
      <c r="C47" s="69"/>
      <c r="D47" s="119" t="s">
        <v>35</v>
      </c>
      <c r="E47" s="179" t="s">
        <v>52</v>
      </c>
      <c r="F47" s="179"/>
      <c r="G47" s="179"/>
      <c r="H47" s="69"/>
      <c r="I47" s="102" t="s">
        <v>251</v>
      </c>
      <c r="J47" s="102"/>
      <c r="K47" s="102" t="s">
        <v>252</v>
      </c>
      <c r="L47" s="69"/>
      <c r="M47" s="102" t="s">
        <v>220</v>
      </c>
      <c r="N47" s="103"/>
      <c r="O47" s="102" t="s">
        <v>242</v>
      </c>
      <c r="P47" s="179" t="s">
        <v>228</v>
      </c>
      <c r="Q47" s="179"/>
      <c r="R47" s="69"/>
      <c r="S47" s="102" t="s">
        <v>243</v>
      </c>
      <c r="T47" s="106" t="s">
        <v>229</v>
      </c>
      <c r="U47" s="69"/>
    </row>
    <row r="48" spans="1:21" ht="15" x14ac:dyDescent="0.25">
      <c r="A48" s="118"/>
      <c r="B48" s="69"/>
      <c r="C48" s="69"/>
      <c r="D48" s="107" t="s">
        <v>203</v>
      </c>
      <c r="E48" s="198" t="s">
        <v>221</v>
      </c>
      <c r="F48" s="198"/>
      <c r="G48" s="198"/>
      <c r="H48" s="69"/>
      <c r="I48" s="40"/>
      <c r="J48" s="85"/>
      <c r="K48" s="40"/>
      <c r="L48" s="69"/>
      <c r="M48" s="120">
        <v>1</v>
      </c>
      <c r="N48" s="121"/>
      <c r="O48" s="122" t="str">
        <f>IF(I48="","",ROUNDDOWN(I48*M48*'Collection Rates'!$V$5,2))</f>
        <v/>
      </c>
      <c r="P48" s="175" t="str">
        <f>IF(I48="","",ROUNDDOWN(I48*M48*$E$60,2))</f>
        <v/>
      </c>
      <c r="Q48" s="175"/>
      <c r="R48" s="69"/>
      <c r="S48" s="122" t="str">
        <f>IF(K48="","",ROUNDDOWN(K48*M48*'Collection Rates'!$W$5,2))</f>
        <v/>
      </c>
      <c r="T48" s="123" t="str">
        <f t="shared" ref="T48:T56" si="3">IF(K48="","",ROUNDDOWN(K48*M48*$E$61,2))</f>
        <v/>
      </c>
      <c r="U48" s="69"/>
    </row>
    <row r="49" spans="1:21" ht="15" x14ac:dyDescent="0.25">
      <c r="A49" s="118"/>
      <c r="B49" s="69"/>
      <c r="C49" s="69"/>
      <c r="D49" s="107" t="s">
        <v>36</v>
      </c>
      <c r="E49" s="198" t="s">
        <v>221</v>
      </c>
      <c r="F49" s="198"/>
      <c r="G49" s="198"/>
      <c r="H49" s="69"/>
      <c r="I49" s="40"/>
      <c r="J49" s="85"/>
      <c r="K49" s="40"/>
      <c r="L49" s="69"/>
      <c r="M49" s="120">
        <v>2.67</v>
      </c>
      <c r="N49" s="121"/>
      <c r="O49" s="122" t="str">
        <f>IF(I49="","",ROUNDDOWN(I49*M49*'Collection Rates'!$V$5,2))</f>
        <v/>
      </c>
      <c r="P49" s="175" t="str">
        <f t="shared" ref="P49:P56" si="4">IF(I49="","",ROUNDDOWN(I49*M49*$E$60,2))</f>
        <v/>
      </c>
      <c r="Q49" s="175"/>
      <c r="R49" s="69"/>
      <c r="S49" s="122" t="str">
        <f>IF(K49="","",ROUNDDOWN(K49*M49*'Collection Rates'!$W$5,2))</f>
        <v/>
      </c>
      <c r="T49" s="123" t="str">
        <f t="shared" si="3"/>
        <v/>
      </c>
      <c r="U49" s="69"/>
    </row>
    <row r="50" spans="1:21" ht="15" x14ac:dyDescent="0.25">
      <c r="A50" s="118"/>
      <c r="B50" s="69"/>
      <c r="C50" s="69"/>
      <c r="D50" s="107" t="s">
        <v>37</v>
      </c>
      <c r="E50" s="198" t="s">
        <v>222</v>
      </c>
      <c r="F50" s="198"/>
      <c r="G50" s="198"/>
      <c r="H50" s="69"/>
      <c r="I50" s="40"/>
      <c r="J50" s="85"/>
      <c r="K50" s="40"/>
      <c r="L50" s="69"/>
      <c r="M50" s="120">
        <v>6.67</v>
      </c>
      <c r="N50" s="121"/>
      <c r="O50" s="122" t="str">
        <f>IF(I50="","",ROUNDDOWN(I50*M50*'Collection Rates'!$V$5,2))</f>
        <v/>
      </c>
      <c r="P50" s="175" t="str">
        <f t="shared" si="4"/>
        <v/>
      </c>
      <c r="Q50" s="175"/>
      <c r="R50" s="69"/>
      <c r="S50" s="122" t="str">
        <f>IF(K50="","",ROUNDDOWN(K50*M50*'Collection Rates'!$W$5,2))</f>
        <v/>
      </c>
      <c r="T50" s="123" t="str">
        <f t="shared" si="3"/>
        <v/>
      </c>
      <c r="U50" s="69"/>
    </row>
    <row r="51" spans="1:21" ht="15" x14ac:dyDescent="0.25">
      <c r="A51" s="118"/>
      <c r="B51" s="69"/>
      <c r="C51" s="69"/>
      <c r="D51" s="107" t="s">
        <v>38</v>
      </c>
      <c r="E51" s="198" t="s">
        <v>222</v>
      </c>
      <c r="F51" s="198"/>
      <c r="G51" s="198"/>
      <c r="H51" s="69"/>
      <c r="I51" s="40"/>
      <c r="J51" s="85"/>
      <c r="K51" s="40"/>
      <c r="L51" s="69"/>
      <c r="M51" s="120">
        <v>10.67</v>
      </c>
      <c r="N51" s="121"/>
      <c r="O51" s="122" t="str">
        <f>IF(I51="","",ROUNDDOWN(I51*M51*'Collection Rates'!$V$5,2))</f>
        <v/>
      </c>
      <c r="P51" s="175" t="str">
        <f t="shared" si="4"/>
        <v/>
      </c>
      <c r="Q51" s="175"/>
      <c r="R51" s="69"/>
      <c r="S51" s="122" t="str">
        <f>IF(K51="","",ROUNDDOWN(K51*M51*'Collection Rates'!$W$5,2))</f>
        <v/>
      </c>
      <c r="T51" s="123" t="str">
        <f t="shared" si="3"/>
        <v/>
      </c>
      <c r="U51" s="69"/>
    </row>
    <row r="52" spans="1:21" ht="15" x14ac:dyDescent="0.25">
      <c r="A52" s="118"/>
      <c r="B52" s="69"/>
      <c r="C52" s="69"/>
      <c r="D52" s="107" t="s">
        <v>39</v>
      </c>
      <c r="E52" s="198" t="s">
        <v>222</v>
      </c>
      <c r="F52" s="198"/>
      <c r="G52" s="198"/>
      <c r="H52" s="69"/>
      <c r="I52" s="40"/>
      <c r="J52" s="85"/>
      <c r="K52" s="40"/>
      <c r="L52" s="69"/>
      <c r="M52" s="120">
        <v>23.33</v>
      </c>
      <c r="N52" s="121"/>
      <c r="O52" s="122" t="str">
        <f>IF(I52="","",ROUNDDOWN(I52*M52*'Collection Rates'!$V$5,2))</f>
        <v/>
      </c>
      <c r="P52" s="175" t="str">
        <f t="shared" si="4"/>
        <v/>
      </c>
      <c r="Q52" s="175"/>
      <c r="R52" s="69"/>
      <c r="S52" s="122" t="str">
        <f>IF(K52="","",ROUNDDOWN(K52*M52*'Collection Rates'!$W$5,2))</f>
        <v/>
      </c>
      <c r="T52" s="123" t="str">
        <f t="shared" si="3"/>
        <v/>
      </c>
      <c r="U52" s="69"/>
    </row>
    <row r="53" spans="1:21" ht="15" x14ac:dyDescent="0.25">
      <c r="A53" s="118"/>
      <c r="B53" s="69"/>
      <c r="C53" s="69"/>
      <c r="D53" s="107" t="s">
        <v>40</v>
      </c>
      <c r="E53" s="198" t="s">
        <v>222</v>
      </c>
      <c r="F53" s="198"/>
      <c r="G53" s="198"/>
      <c r="H53" s="69"/>
      <c r="I53" s="40"/>
      <c r="J53" s="85"/>
      <c r="K53" s="40"/>
      <c r="L53" s="69"/>
      <c r="M53" s="120">
        <v>42</v>
      </c>
      <c r="N53" s="121"/>
      <c r="O53" s="122" t="str">
        <f>IF(I53="","",ROUNDDOWN(I53*M53*'Collection Rates'!$V$5,2))</f>
        <v/>
      </c>
      <c r="P53" s="175" t="str">
        <f t="shared" si="4"/>
        <v/>
      </c>
      <c r="Q53" s="175"/>
      <c r="R53" s="69"/>
      <c r="S53" s="122" t="str">
        <f>IF(K53="","",ROUNDDOWN(K53*M53*'Collection Rates'!$W$5,2))</f>
        <v/>
      </c>
      <c r="T53" s="123" t="str">
        <f t="shared" si="3"/>
        <v/>
      </c>
      <c r="U53" s="69"/>
    </row>
    <row r="54" spans="1:21" ht="15" x14ac:dyDescent="0.25">
      <c r="A54" s="118"/>
      <c r="B54" s="69"/>
      <c r="C54" s="69"/>
      <c r="D54" s="107" t="s">
        <v>41</v>
      </c>
      <c r="E54" s="198" t="s">
        <v>222</v>
      </c>
      <c r="F54" s="198"/>
      <c r="G54" s="198"/>
      <c r="H54" s="69"/>
      <c r="I54" s="40"/>
      <c r="J54" s="85"/>
      <c r="K54" s="40"/>
      <c r="L54" s="69"/>
      <c r="M54" s="120">
        <v>93.33</v>
      </c>
      <c r="N54" s="121"/>
      <c r="O54" s="122" t="str">
        <f>IF(I54="","",ROUNDDOWN(I54*M54*'Collection Rates'!$V$5,2))</f>
        <v/>
      </c>
      <c r="P54" s="175" t="str">
        <f t="shared" si="4"/>
        <v/>
      </c>
      <c r="Q54" s="175"/>
      <c r="R54" s="69"/>
      <c r="S54" s="122" t="str">
        <f>IF(K54="","",ROUNDDOWN(K54*M54*'Collection Rates'!$W$5,2))</f>
        <v/>
      </c>
      <c r="T54" s="123" t="str">
        <f t="shared" si="3"/>
        <v/>
      </c>
      <c r="U54" s="69"/>
    </row>
    <row r="55" spans="1:21" ht="15" x14ac:dyDescent="0.25">
      <c r="A55" s="118"/>
      <c r="B55" s="69"/>
      <c r="C55" s="69"/>
      <c r="D55" s="107" t="s">
        <v>42</v>
      </c>
      <c r="E55" s="198" t="s">
        <v>222</v>
      </c>
      <c r="F55" s="198"/>
      <c r="G55" s="198"/>
      <c r="H55" s="69"/>
      <c r="I55" s="40"/>
      <c r="J55" s="85"/>
      <c r="K55" s="40"/>
      <c r="L55" s="69"/>
      <c r="M55" s="120">
        <v>160</v>
      </c>
      <c r="N55" s="121"/>
      <c r="O55" s="122" t="str">
        <f>IF(I55="","",ROUNDDOWN(I55*M55*'Collection Rates'!$V$5,2))</f>
        <v/>
      </c>
      <c r="P55" s="175" t="str">
        <f t="shared" si="4"/>
        <v/>
      </c>
      <c r="Q55" s="175"/>
      <c r="R55" s="69"/>
      <c r="S55" s="122" t="str">
        <f>IF(K55="","",ROUNDDOWN(K55*M55*'Collection Rates'!$W$5,2))</f>
        <v/>
      </c>
      <c r="T55" s="123" t="str">
        <f t="shared" si="3"/>
        <v/>
      </c>
      <c r="U55" s="69"/>
    </row>
    <row r="56" spans="1:21" ht="15" x14ac:dyDescent="0.25">
      <c r="A56" s="118"/>
      <c r="B56" s="69"/>
      <c r="C56" s="69"/>
      <c r="D56" s="107" t="s">
        <v>205</v>
      </c>
      <c r="E56" s="198" t="s">
        <v>222</v>
      </c>
      <c r="F56" s="198"/>
      <c r="G56" s="198"/>
      <c r="H56" s="69"/>
      <c r="I56" s="40"/>
      <c r="J56" s="85"/>
      <c r="K56" s="40"/>
      <c r="L56" s="69"/>
      <c r="M56" s="120">
        <v>253.33</v>
      </c>
      <c r="N56" s="121"/>
      <c r="O56" s="122" t="str">
        <f>IF(I56="","",ROUNDDOWN(I56*M56*'Collection Rates'!$V$5,2))</f>
        <v/>
      </c>
      <c r="P56" s="175" t="str">
        <f t="shared" si="4"/>
        <v/>
      </c>
      <c r="Q56" s="175"/>
      <c r="R56" s="69"/>
      <c r="S56" s="122" t="str">
        <f>IF(K56="","",ROUNDDOWN(K56*M56*'Collection Rates'!$W$5,2))</f>
        <v/>
      </c>
      <c r="T56" s="123" t="str">
        <f t="shared" si="3"/>
        <v/>
      </c>
      <c r="U56" s="69"/>
    </row>
    <row r="57" spans="1:21" ht="2.25" customHeight="1" x14ac:dyDescent="0.25">
      <c r="A57" s="118"/>
      <c r="B57" s="69"/>
      <c r="C57" s="69"/>
      <c r="D57" s="107"/>
      <c r="E57" s="56"/>
      <c r="F57" s="56"/>
      <c r="G57" s="56"/>
      <c r="H57" s="69"/>
      <c r="I57" s="124"/>
      <c r="J57" s="125"/>
      <c r="K57" s="124"/>
      <c r="L57" s="69"/>
      <c r="M57" s="120"/>
      <c r="N57" s="121"/>
      <c r="O57" s="122"/>
      <c r="P57" s="122"/>
      <c r="Q57" s="122"/>
      <c r="R57" s="69"/>
      <c r="S57" s="122"/>
      <c r="T57" s="123"/>
      <c r="U57" s="69"/>
    </row>
    <row r="58" spans="1:21" ht="15.75" x14ac:dyDescent="0.25">
      <c r="A58" s="118"/>
      <c r="B58" s="69"/>
      <c r="C58" s="69"/>
      <c r="D58" s="69"/>
      <c r="E58" s="69"/>
      <c r="F58" s="126"/>
      <c r="G58" s="82"/>
      <c r="H58" s="82"/>
      <c r="I58" s="82"/>
      <c r="J58" s="82"/>
      <c r="K58" s="82"/>
      <c r="L58" s="82"/>
      <c r="M58" s="82"/>
      <c r="N58" s="126"/>
      <c r="O58" s="126"/>
      <c r="P58" s="176" t="s">
        <v>43</v>
      </c>
      <c r="Q58" s="176"/>
      <c r="R58" s="69"/>
      <c r="S58" s="69"/>
      <c r="T58" s="127" t="s">
        <v>44</v>
      </c>
      <c r="U58" s="69"/>
    </row>
    <row r="59" spans="1:21" ht="17.25" x14ac:dyDescent="0.3">
      <c r="A59" s="118"/>
      <c r="B59" s="69"/>
      <c r="C59" s="69"/>
      <c r="D59" s="69"/>
      <c r="E59" s="69"/>
      <c r="F59" s="69"/>
      <c r="G59" s="69"/>
      <c r="H59" s="128"/>
      <c r="I59" s="128"/>
      <c r="J59" s="129"/>
      <c r="K59" s="129"/>
      <c r="L59" s="130"/>
      <c r="M59" s="92" t="str">
        <f>IF(K20="Yes","CALCULATED W/WW IMPACT FEES WITH 50% DISCOUNT:","CALCULATED W/WW IMPACT FEES:")</f>
        <v>CALCULATED W/WW IMPACT FEES:</v>
      </c>
      <c r="N59" s="69"/>
      <c r="O59" s="113">
        <f>SUM(O48:O56)</f>
        <v>0</v>
      </c>
      <c r="P59" s="199">
        <f>IF(OR(K17="Yes",K18="Yes",K19="Yes"),0,IF(K20="Yes",0.5*SUM(P48:P56),SUM(P48:P56)))</f>
        <v>0</v>
      </c>
      <c r="Q59" s="199"/>
      <c r="R59" s="69"/>
      <c r="S59" s="113">
        <f>SUM(S48:S56)</f>
        <v>0</v>
      </c>
      <c r="T59" s="131">
        <f>IF(OR(K17="Yes",K18="Yes",K19="Yes"),0,IF(K20="Yes",0.5*SUM(T48:T56),SUM(T48:T56)))</f>
        <v>0</v>
      </c>
      <c r="U59" s="69"/>
    </row>
    <row r="60" spans="1:21" ht="17.25" x14ac:dyDescent="0.3">
      <c r="A60" s="132"/>
      <c r="B60" s="133"/>
      <c r="C60" s="133"/>
      <c r="D60" s="134" t="s">
        <v>50</v>
      </c>
      <c r="E60" s="196">
        <f>IF(I8="Enter Month",0,IF(I9="Enter Development Location",0,IF(AND(I9="City Limits",K16="No"),Hidden!M7,IF(AND(I9="ETJ",K16="No"),Hidden!O7,IF(AND(DATE(M8,I8,K8)&gt;=Hidden!K3,DATE(M8,I8,K8)&lt;=Hidden!L3,I9="City Limits"),Hidden!M3,IF(AND(DATE(M8,I8,K8)&gt;=Hidden!K4,DATE(M8,I8,K8)&lt;=Hidden!L4,I9="City Limits"),Hidden!M4,IF(AND(DATE(M8,I8,K8)&gt;=Hidden!K5,DATE(M8,I8,K8)&lt;=Hidden!L5,I9="City Limits"),Hidden!M5,IF(AND(DATE(M8,I8,K8)&gt;=Hidden!K6,DATE(M8,I8,K8)&lt;=Hidden!L6,I9="City Limits"),Hidden!M6,IF(AND(DATE(M8,I8,K8)&gt;=Hidden!K7,DATE(M8,I8,K8)&lt;=Hidden!L7,I9="City Limits"),Hidden!M7,IF(AND(DATE(M8,I8,K8)&gt;=Hidden!K3,DATE(M8,I8,K8)&lt;=Hidden!L3,I9="ETJ"),Hidden!O3,IF(AND(DATE(M8,I8,K8)&gt;=Hidden!K4,DATE(M8,I8,K8)&lt;=Hidden!L4,I9="ETJ"),Hidden!O4,IF(AND(DATE(M8,I8,K8)&gt;=Hidden!K5,DATE(M8,I8,K8)&lt;=Hidden!L5,I9="ETJ"),Hidden!O5,IF(AND(DATE(M8,I8,K8)&gt;=Hidden!K6,DATE(M8,I8,K8)&lt;=Hidden!L6,I9="ETJ"),Hidden!O6,IF(AND(DATE(M8,I8,K8)&gt;=Hidden!K7,DATE(M8,I8,K8)&lt;=Hidden!L7,I9="ETJ"),Hidden!O7,"-"))))))))))))))</f>
        <v>0</v>
      </c>
      <c r="F60" s="196"/>
      <c r="G60" s="196"/>
      <c r="H60" s="128"/>
      <c r="I60" s="128"/>
      <c r="J60" s="129"/>
      <c r="K60" s="129"/>
      <c r="L60" s="130"/>
      <c r="M60" s="92"/>
      <c r="N60" s="135"/>
      <c r="O60" s="135"/>
      <c r="P60" s="135"/>
      <c r="Q60" s="135"/>
      <c r="R60" s="136"/>
      <c r="S60" s="136"/>
      <c r="T60" s="137"/>
      <c r="U60" s="69"/>
    </row>
    <row r="61" spans="1:21" ht="16.5" thickBot="1" x14ac:dyDescent="0.3">
      <c r="A61" s="114"/>
      <c r="B61" s="115"/>
      <c r="C61" s="115"/>
      <c r="D61" s="138" t="s">
        <v>51</v>
      </c>
      <c r="E61" s="197">
        <f>IF(I8="Enter Month",0,IF(I9="Enter Development Location",0,IF(AND(I9="City Limits",K16="No"),Hidden!N7,IF(AND(I9="ETJ",K16="No"),Hidden!P7,IF(AND(DATE(M8,I8,K8)&gt;=Hidden!K3,DATE(M8,I8,K8)&lt;=Hidden!L3,I9="City Limits"),Hidden!N3,IF(AND(DATE(M8,I8,K8)&gt;=Hidden!K4,DATE(M8,I8,K8)&lt;=Hidden!L4,I9="City Limits"),Hidden!N4,IF(AND(DATE(M8,I8,K8)&gt;=Hidden!K5,DATE(M8,I8,K8)&lt;=Hidden!L5,I9="City Limits"),Hidden!N5,IF(AND(DATE(M8,I8,K8)&gt;=Hidden!K6,DATE(M8,I8,K8)&lt;=Hidden!L6,I9="City Limits"),Hidden!N6,IF(AND(DATE(M8,I8,K8)&gt;=Hidden!K7,DATE(M8,I8,K8)&lt;=Hidden!L7,I9="City Limits"),Hidden!N7,IF(AND(DATE(M8,I8,K8)&gt;=Hidden!K3,DATE(M8,I8,K8)&lt;=Hidden!L3,I9="ETJ"),Hidden!P3,IF(AND(DATE(M8,I8,K8)&gt;=Hidden!K4,DATE(M8,I8,K8)&lt;=Hidden!L4,I9="ETJ"),Hidden!P4,IF(AND(DATE(M8,I8,K8)&gt;=Hidden!K5,DATE(M8,I8,K8)&lt;=Hidden!L5,I9="ETJ"),Hidden!P5,IF(AND(DATE(M8,I8,K8)&gt;=Hidden!K6,DATE(M8,I8,K8)&lt;=Hidden!L6,I9="ETJ"),Hidden!P6,IF(AND(DATE(M8,I8,K8)&gt;=Hidden!K7,DATE(M8,I8,K8)&lt;=Hidden!L7,I9="ETJ"),Hidden!P7,"-"))))))))))))))</f>
        <v>0</v>
      </c>
      <c r="F61" s="197"/>
      <c r="G61" s="197"/>
      <c r="H61" s="139"/>
      <c r="I61" s="139"/>
      <c r="J61" s="174"/>
      <c r="K61" s="174"/>
      <c r="L61" s="140"/>
      <c r="M61" s="89"/>
      <c r="N61" s="117"/>
      <c r="O61" s="117"/>
      <c r="P61" s="141"/>
      <c r="Q61" s="141"/>
      <c r="R61" s="141"/>
      <c r="S61" s="141"/>
      <c r="T61" s="142"/>
      <c r="U61" s="69"/>
    </row>
    <row r="62" spans="1:21" ht="15" customHeight="1" thickTop="1" thickBot="1" x14ac:dyDescent="0.3">
      <c r="B62" s="69"/>
      <c r="C62" s="69"/>
      <c r="D62" s="69"/>
      <c r="E62" s="69"/>
    </row>
    <row r="63" spans="1:21" ht="19.5" customHeight="1" thickTop="1" x14ac:dyDescent="0.25">
      <c r="A63" s="76" t="s">
        <v>237</v>
      </c>
      <c r="B63" s="79"/>
      <c r="C63" s="79"/>
      <c r="D63" s="79"/>
      <c r="E63" s="79"/>
      <c r="F63" s="79"/>
      <c r="G63" s="79"/>
      <c r="H63" s="79"/>
      <c r="I63" s="79"/>
      <c r="J63" s="79"/>
      <c r="K63" s="79"/>
      <c r="L63" s="79"/>
      <c r="M63" s="79"/>
      <c r="N63" s="79"/>
      <c r="O63" s="79"/>
      <c r="P63" s="79"/>
      <c r="Q63" s="79"/>
      <c r="R63" s="79"/>
      <c r="S63" s="79"/>
      <c r="T63" s="80"/>
    </row>
    <row r="64" spans="1:21" ht="5.25" customHeight="1" x14ac:dyDescent="0.25">
      <c r="A64" s="118"/>
      <c r="B64" s="69"/>
      <c r="C64" s="69"/>
      <c r="D64" s="69"/>
      <c r="E64" s="69"/>
      <c r="F64" s="69"/>
      <c r="G64" s="69"/>
      <c r="H64" s="69"/>
      <c r="I64" s="69"/>
      <c r="J64" s="69"/>
      <c r="K64" s="69"/>
      <c r="L64" s="69"/>
      <c r="M64" s="69"/>
      <c r="N64" s="69"/>
      <c r="O64" s="69"/>
      <c r="P64" s="69"/>
      <c r="Q64" s="69"/>
      <c r="R64" s="69"/>
      <c r="S64" s="69"/>
      <c r="T64" s="86"/>
    </row>
    <row r="65" spans="1:21" ht="15" x14ac:dyDescent="0.25">
      <c r="A65" s="143"/>
      <c r="B65" s="144"/>
      <c r="C65" s="144"/>
      <c r="D65" s="144"/>
      <c r="E65" s="145" t="s">
        <v>239</v>
      </c>
      <c r="F65" s="69"/>
      <c r="G65" s="201">
        <f>S43</f>
        <v>0</v>
      </c>
      <c r="H65" s="201"/>
      <c r="I65" s="201"/>
      <c r="J65" s="146"/>
      <c r="K65" s="69"/>
      <c r="L65" s="69"/>
      <c r="M65" s="69"/>
      <c r="N65" s="69"/>
      <c r="O65" s="69"/>
      <c r="P65" s="69"/>
      <c r="Q65" s="145" t="s">
        <v>248</v>
      </c>
      <c r="R65" s="147"/>
      <c r="S65" s="147"/>
      <c r="T65" s="155">
        <f>IF(I9="ETJ",0,T43)</f>
        <v>0</v>
      </c>
      <c r="U65" s="147"/>
    </row>
    <row r="66" spans="1:21" ht="15" x14ac:dyDescent="0.25">
      <c r="A66" s="143"/>
      <c r="B66" s="144"/>
      <c r="C66" s="144"/>
      <c r="D66" s="144"/>
      <c r="E66" s="145" t="s">
        <v>240</v>
      </c>
      <c r="F66" s="69"/>
      <c r="G66" s="201">
        <f>O59</f>
        <v>0</v>
      </c>
      <c r="H66" s="201"/>
      <c r="I66" s="201"/>
      <c r="J66" s="146"/>
      <c r="K66" s="69"/>
      <c r="L66" s="69"/>
      <c r="M66" s="69"/>
      <c r="N66" s="69"/>
      <c r="O66" s="69"/>
      <c r="P66" s="69"/>
      <c r="Q66" s="145" t="s">
        <v>249</v>
      </c>
      <c r="R66" s="147"/>
      <c r="S66" s="147"/>
      <c r="T66" s="155">
        <f>P59</f>
        <v>0</v>
      </c>
      <c r="U66" s="147"/>
    </row>
    <row r="67" spans="1:21" ht="15" x14ac:dyDescent="0.25">
      <c r="A67" s="143"/>
      <c r="B67" s="144"/>
      <c r="C67" s="144"/>
      <c r="D67" s="144"/>
      <c r="E67" s="145" t="s">
        <v>241</v>
      </c>
      <c r="F67" s="69"/>
      <c r="G67" s="201">
        <f>S59</f>
        <v>0</v>
      </c>
      <c r="H67" s="201"/>
      <c r="I67" s="201"/>
      <c r="J67" s="146"/>
      <c r="K67" s="69"/>
      <c r="L67" s="69"/>
      <c r="M67" s="69"/>
      <c r="N67" s="69"/>
      <c r="O67" s="69"/>
      <c r="P67" s="69"/>
      <c r="Q67" s="145" t="s">
        <v>250</v>
      </c>
      <c r="R67" s="147"/>
      <c r="S67" s="147"/>
      <c r="T67" s="155">
        <f>T59</f>
        <v>0</v>
      </c>
      <c r="U67" s="147"/>
    </row>
    <row r="68" spans="1:21" ht="6" customHeight="1" x14ac:dyDescent="0.25">
      <c r="A68" s="143"/>
      <c r="B68" s="144"/>
      <c r="C68" s="144"/>
      <c r="D68" s="144"/>
      <c r="E68" s="69"/>
      <c r="F68" s="145"/>
      <c r="G68" s="148"/>
      <c r="H68" s="148"/>
      <c r="I68" s="148"/>
      <c r="J68" s="146"/>
      <c r="K68" s="69"/>
      <c r="L68" s="69"/>
      <c r="M68" s="69"/>
      <c r="N68" s="145"/>
      <c r="O68" s="145"/>
      <c r="P68" s="69"/>
      <c r="Q68" s="69"/>
      <c r="R68" s="148"/>
      <c r="S68" s="148"/>
      <c r="T68" s="152"/>
      <c r="U68" s="148"/>
    </row>
    <row r="69" spans="1:21" ht="19.5" customHeight="1" x14ac:dyDescent="0.3">
      <c r="A69" s="143"/>
      <c r="B69" s="144"/>
      <c r="C69" s="144"/>
      <c r="D69" s="144"/>
      <c r="E69" s="149" t="s">
        <v>238</v>
      </c>
      <c r="F69" s="150"/>
      <c r="G69" s="200">
        <f>SUM(G65:H67)</f>
        <v>0</v>
      </c>
      <c r="H69" s="200"/>
      <c r="I69" s="200"/>
      <c r="J69" s="151"/>
      <c r="K69" s="69"/>
      <c r="L69" s="69"/>
      <c r="M69" s="69"/>
      <c r="N69" s="150"/>
      <c r="O69" s="150"/>
      <c r="P69" s="69"/>
      <c r="Q69" s="149" t="s">
        <v>245</v>
      </c>
      <c r="R69" s="150"/>
      <c r="S69" s="150"/>
      <c r="T69" s="156">
        <f>IF(A27="Residential",(SUM(T65:T67)),IF((T66+T67)&gt;75000,(T66+T67),IF(SUM(T65:T67)&gt;75000,75000,SUM(T65:T67))))</f>
        <v>0</v>
      </c>
      <c r="U69" s="150"/>
    </row>
    <row r="70" spans="1:21" ht="6" customHeight="1" x14ac:dyDescent="0.25">
      <c r="A70" s="143"/>
      <c r="B70" s="144"/>
      <c r="C70" s="144"/>
      <c r="D70" s="144"/>
      <c r="E70" s="144"/>
      <c r="F70" s="145"/>
      <c r="G70" s="144"/>
      <c r="H70" s="69"/>
      <c r="I70" s="146"/>
      <c r="J70" s="146"/>
      <c r="K70" s="69"/>
      <c r="L70" s="69"/>
      <c r="M70" s="69"/>
      <c r="N70" s="145"/>
      <c r="O70" s="145"/>
      <c r="P70" s="148"/>
      <c r="Q70" s="148"/>
      <c r="R70" s="148"/>
      <c r="S70" s="148"/>
      <c r="T70" s="152"/>
    </row>
    <row r="71" spans="1:21" ht="15" customHeight="1" x14ac:dyDescent="0.25">
      <c r="A71" s="166" t="s">
        <v>256</v>
      </c>
      <c r="B71" s="167"/>
      <c r="C71" s="167"/>
      <c r="D71" s="167"/>
      <c r="E71" s="167"/>
      <c r="F71" s="167"/>
      <c r="G71" s="167"/>
      <c r="H71" s="167"/>
      <c r="I71" s="167"/>
      <c r="J71" s="167"/>
      <c r="K71" s="167"/>
      <c r="L71" s="167"/>
      <c r="M71" s="167"/>
      <c r="N71" s="167"/>
      <c r="O71" s="167"/>
      <c r="P71" s="167"/>
      <c r="Q71" s="144"/>
      <c r="R71" s="144"/>
      <c r="S71" s="69"/>
      <c r="T71" s="86"/>
    </row>
    <row r="72" spans="1:21" ht="15" customHeight="1" thickBot="1" x14ac:dyDescent="0.3">
      <c r="A72" s="168"/>
      <c r="B72" s="169"/>
      <c r="C72" s="169"/>
      <c r="D72" s="169"/>
      <c r="E72" s="169"/>
      <c r="F72" s="169"/>
      <c r="G72" s="169"/>
      <c r="H72" s="169"/>
      <c r="I72" s="169"/>
      <c r="J72" s="169"/>
      <c r="K72" s="169"/>
      <c r="L72" s="169"/>
      <c r="M72" s="169"/>
      <c r="N72" s="169"/>
      <c r="O72" s="169"/>
      <c r="P72" s="169"/>
      <c r="Q72" s="153"/>
      <c r="R72" s="153"/>
      <c r="S72" s="89"/>
      <c r="T72" s="157" t="s">
        <v>270</v>
      </c>
    </row>
    <row r="73" spans="1:21" ht="15" customHeight="1" thickTop="1" x14ac:dyDescent="0.25">
      <c r="B73" s="69"/>
    </row>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sheetData>
  <sheetProtection algorithmName="SHA-512" hashValue="ECi7SuDOlX+nGMf5CkywQVbWuImCYtlh8YJXvt6YM80zkhm7xsBxDXr5J3YeSdMbbIluqk5izx2fuBBw1vs1pw==" saltValue="5iaqBXB5pouxceorTrajhQ==" spinCount="100000" sheet="1" selectLockedCells="1"/>
  <dataConsolidate/>
  <mergeCells count="87">
    <mergeCell ref="P8:T8"/>
    <mergeCell ref="P12:R12"/>
    <mergeCell ref="A12:M12"/>
    <mergeCell ref="P36:Q36"/>
    <mergeCell ref="P39:Q39"/>
    <mergeCell ref="P40:Q40"/>
    <mergeCell ref="P41:Q41"/>
    <mergeCell ref="P31:Q31"/>
    <mergeCell ref="P32:Q32"/>
    <mergeCell ref="P33:Q33"/>
    <mergeCell ref="P34:Q34"/>
    <mergeCell ref="P35:Q35"/>
    <mergeCell ref="P27:Q27"/>
    <mergeCell ref="P28:Q28"/>
    <mergeCell ref="P29:Q29"/>
    <mergeCell ref="P30:Q30"/>
    <mergeCell ref="P24:Q24"/>
    <mergeCell ref="G69:I69"/>
    <mergeCell ref="G67:I67"/>
    <mergeCell ref="G66:I66"/>
    <mergeCell ref="G65:I65"/>
    <mergeCell ref="D34:G34"/>
    <mergeCell ref="E48:G48"/>
    <mergeCell ref="E52:G52"/>
    <mergeCell ref="E51:G51"/>
    <mergeCell ref="P59:Q59"/>
    <mergeCell ref="P47:Q47"/>
    <mergeCell ref="E44:G44"/>
    <mergeCell ref="E47:G47"/>
    <mergeCell ref="E50:G50"/>
    <mergeCell ref="E49:G49"/>
    <mergeCell ref="P53:Q53"/>
    <mergeCell ref="E60:G60"/>
    <mergeCell ref="E61:G61"/>
    <mergeCell ref="E56:G56"/>
    <mergeCell ref="E55:G55"/>
    <mergeCell ref="E54:G54"/>
    <mergeCell ref="E53:G53"/>
    <mergeCell ref="A1:T1"/>
    <mergeCell ref="A2:T2"/>
    <mergeCell ref="A38:T38"/>
    <mergeCell ref="I4:T4"/>
    <mergeCell ref="I5:T5"/>
    <mergeCell ref="I6:T6"/>
    <mergeCell ref="I7:T7"/>
    <mergeCell ref="A25:B25"/>
    <mergeCell ref="D25:G25"/>
    <mergeCell ref="A28:B28"/>
    <mergeCell ref="D28:G28"/>
    <mergeCell ref="A29:B29"/>
    <mergeCell ref="D29:G29"/>
    <mergeCell ref="A27:B27"/>
    <mergeCell ref="D27:G27"/>
    <mergeCell ref="A36:B36"/>
    <mergeCell ref="A33:B33"/>
    <mergeCell ref="D36:G36"/>
    <mergeCell ref="A35:B35"/>
    <mergeCell ref="D35:G35"/>
    <mergeCell ref="D33:G33"/>
    <mergeCell ref="A34:B34"/>
    <mergeCell ref="A30:B30"/>
    <mergeCell ref="A31:B31"/>
    <mergeCell ref="D30:G30"/>
    <mergeCell ref="D31:G31"/>
    <mergeCell ref="A32:B32"/>
    <mergeCell ref="D32:G32"/>
    <mergeCell ref="A39:B39"/>
    <mergeCell ref="D39:G39"/>
    <mergeCell ref="A41:B41"/>
    <mergeCell ref="D41:G41"/>
    <mergeCell ref="A40:B40"/>
    <mergeCell ref="D40:G40"/>
    <mergeCell ref="A71:P72"/>
    <mergeCell ref="I9:K9"/>
    <mergeCell ref="I10:K10"/>
    <mergeCell ref="J61:K61"/>
    <mergeCell ref="P48:Q48"/>
    <mergeCell ref="P49:Q49"/>
    <mergeCell ref="P50:Q50"/>
    <mergeCell ref="P51:Q51"/>
    <mergeCell ref="P52:Q52"/>
    <mergeCell ref="P55:Q55"/>
    <mergeCell ref="P54:Q54"/>
    <mergeCell ref="P56:Q56"/>
    <mergeCell ref="P58:Q58"/>
    <mergeCell ref="I43:P43"/>
    <mergeCell ref="P25:Q25"/>
  </mergeCells>
  <dataValidations count="8">
    <dataValidation type="list" allowBlank="1" showInputMessage="1" showErrorMessage="1" sqref="I39:I41" xr:uid="{00000000-0002-0000-0000-000000000000}">
      <formula1>"Dwelling Unit, 1000 sq ft"</formula1>
    </dataValidation>
    <dataValidation type="list" allowBlank="1" showInputMessage="1" showErrorMessage="1" sqref="I10:K10" xr:uid="{60A427DE-BEEA-40EC-89C5-444E3213DBE1}">
      <formula1>INDIRECT("Roadway_Service")</formula1>
    </dataValidation>
    <dataValidation type="list" allowBlank="1" showInputMessage="1" showErrorMessage="1" sqref="G39:G41 G27:G36 D27:E36 D39:E41" xr:uid="{B09C9047-5228-463C-A130-409AD70FB141}">
      <formula1>IF($A27="Commercial/Retail",INDIRECT("Commercial_Retail"),INDIRECT($A27))</formula1>
    </dataValidation>
    <dataValidation type="list" allowBlank="1" showInputMessage="1" showErrorMessage="1" sqref="I9:K9" xr:uid="{9FA6DB10-7962-4F6B-92A3-56586333C5F0}">
      <formula1>"Enter Development Location, City Limits, ETJ"</formula1>
    </dataValidation>
    <dataValidation type="list" allowBlank="1" showInputMessage="1" showErrorMessage="1" sqref="I8" xr:uid="{04F5254A-1C67-4858-B4DE-9774A433D77B}">
      <formula1>"Enter Month,1,2,3,4,5,6,7,8,9,10,11,12"</formula1>
    </dataValidation>
    <dataValidation type="list" allowBlank="1" showInputMessage="1" showErrorMessage="1" sqref="K8" xr:uid="{D6631DC3-2E8E-49BD-959F-8D7EAAA344F2}">
      <formula1>"Enter Day,1,2,3,4,5,6,7,8,9,10,11,12,13,14,15,16,17,18,19,20,21,22,23,24,25,26,27,28,29,30,31"</formula1>
    </dataValidation>
    <dataValidation type="list" allowBlank="1" showInputMessage="1" showErrorMessage="1" sqref="M8" xr:uid="{521DE3DA-CF3C-4E37-B44B-BABA3297242D}">
      <formula1>"Enter Year,2021,2022,2023,2024,2025,2026"</formula1>
    </dataValidation>
    <dataValidation type="list" allowBlank="1" showInputMessage="1" showErrorMessage="1" sqref="K16:K20" xr:uid="{37F02DA2-EBDF-432E-8D92-79A46AB66658}">
      <formula1>"Yes,No"</formula1>
    </dataValidation>
  </dataValidations>
  <pageMargins left="0.7" right="0.7" top="0.75" bottom="0.75" header="0.3" footer="0.3"/>
  <pageSetup scale="6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Hidden!$C$2:$C$6</xm:f>
          </x14:formula1>
          <xm:sqref>A27:B36 A39:B41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49B1D-B48F-4495-9BD6-DB3118E4758E}">
  <dimension ref="A1:C4"/>
  <sheetViews>
    <sheetView workbookViewId="0">
      <selection activeCell="C2" sqref="C2"/>
    </sheetView>
  </sheetViews>
  <sheetFormatPr defaultRowHeight="15" x14ac:dyDescent="0.25"/>
  <cols>
    <col min="1" max="1" width="9.140625" style="231"/>
    <col min="2" max="2" width="11.140625" style="231" customWidth="1"/>
    <col min="3" max="3" width="56.28515625" bestFit="1" customWidth="1"/>
  </cols>
  <sheetData>
    <row r="1" spans="1:3" s="233" customFormat="1" x14ac:dyDescent="0.25">
      <c r="A1" s="232" t="s">
        <v>260</v>
      </c>
      <c r="B1" s="232" t="s">
        <v>264</v>
      </c>
      <c r="C1" s="233" t="s">
        <v>265</v>
      </c>
    </row>
    <row r="2" spans="1:3" x14ac:dyDescent="0.25">
      <c r="A2" s="231">
        <v>1.5</v>
      </c>
      <c r="B2" s="234">
        <v>44363</v>
      </c>
      <c r="C2" t="s">
        <v>261</v>
      </c>
    </row>
    <row r="3" spans="1:3" x14ac:dyDescent="0.25">
      <c r="C3" t="s">
        <v>262</v>
      </c>
    </row>
    <row r="4" spans="1:3" x14ac:dyDescent="0.25">
      <c r="C4" t="s">
        <v>263</v>
      </c>
    </row>
  </sheetData>
  <sheetProtection algorithmName="SHA-512" hashValue="0uDNIIZ9/g7dg0UFtKoKQtmCPhhp9/SlFhGU5VXfB7/2GDQJe7KIDvWaYH+v/lzddI3aZb9Hgo7p2m4ptQjEvw==" saltValue="0YsYHTkeEW9EVXZ3S49avQ==" spinCount="100000" sheet="1" objects="1" scenarios="1" selectLockedCells="1" selectUnlockedCell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4A894-1BCB-4F7A-858A-0157D2AA2744}">
  <dimension ref="A1:AE21"/>
  <sheetViews>
    <sheetView zoomScale="85" zoomScaleNormal="85" workbookViewId="0">
      <selection activeCell="W5" sqref="W5"/>
    </sheetView>
  </sheetViews>
  <sheetFormatPr defaultRowHeight="15" x14ac:dyDescent="0.25"/>
  <cols>
    <col min="1" max="1" width="13.7109375" customWidth="1"/>
    <col min="2" max="2" width="17.42578125" customWidth="1"/>
    <col min="3" max="7" width="13.5703125" customWidth="1"/>
    <col min="9" max="11" width="12.28515625" style="46" customWidth="1"/>
    <col min="12" max="23" width="12.28515625" customWidth="1"/>
  </cols>
  <sheetData>
    <row r="1" spans="1:31" ht="15" customHeight="1" x14ac:dyDescent="0.25">
      <c r="A1" s="204" t="s">
        <v>208</v>
      </c>
      <c r="B1" s="204" t="s">
        <v>235</v>
      </c>
      <c r="C1" s="211" t="s">
        <v>234</v>
      </c>
      <c r="D1" s="212"/>
      <c r="E1" s="212"/>
      <c r="F1" s="212"/>
      <c r="G1" s="213"/>
      <c r="I1" s="209" t="s">
        <v>35</v>
      </c>
      <c r="J1" s="216" t="s">
        <v>247</v>
      </c>
      <c r="K1" s="209"/>
      <c r="L1" s="207" t="s">
        <v>246</v>
      </c>
      <c r="M1" s="208"/>
      <c r="N1" s="208"/>
      <c r="O1" s="208"/>
      <c r="P1" s="208"/>
      <c r="Q1" s="208"/>
      <c r="R1" s="208"/>
      <c r="S1" s="208"/>
      <c r="T1" s="208"/>
      <c r="U1" s="208"/>
      <c r="V1" s="208"/>
      <c r="W1" s="208"/>
    </row>
    <row r="2" spans="1:31" ht="15" customHeight="1" x14ac:dyDescent="0.25">
      <c r="A2" s="204"/>
      <c r="B2" s="204"/>
      <c r="C2" s="207"/>
      <c r="D2" s="208"/>
      <c r="E2" s="208"/>
      <c r="F2" s="208"/>
      <c r="G2" s="210"/>
      <c r="I2" s="209"/>
      <c r="J2" s="216"/>
      <c r="K2" s="209"/>
      <c r="L2" s="217" t="s">
        <v>198</v>
      </c>
      <c r="M2" s="217"/>
      <c r="N2" s="217"/>
      <c r="O2" s="217"/>
      <c r="P2" s="217"/>
      <c r="Q2" s="217"/>
      <c r="R2" s="217"/>
      <c r="S2" s="217"/>
      <c r="T2" s="217"/>
      <c r="U2" s="217"/>
      <c r="V2" s="217" t="s">
        <v>199</v>
      </c>
      <c r="W2" s="217"/>
    </row>
    <row r="3" spans="1:31" ht="48" customHeight="1" x14ac:dyDescent="0.25">
      <c r="A3" s="204"/>
      <c r="B3" s="204"/>
      <c r="C3" s="214" t="s">
        <v>206</v>
      </c>
      <c r="D3" s="214" t="s">
        <v>230</v>
      </c>
      <c r="E3" s="214" t="s">
        <v>231</v>
      </c>
      <c r="F3" s="214" t="s">
        <v>232</v>
      </c>
      <c r="G3" s="214" t="s">
        <v>233</v>
      </c>
      <c r="I3" s="209"/>
      <c r="J3" s="207"/>
      <c r="K3" s="210"/>
      <c r="L3" s="204" t="s">
        <v>206</v>
      </c>
      <c r="M3" s="204"/>
      <c r="N3" s="204" t="s">
        <v>230</v>
      </c>
      <c r="O3" s="204"/>
      <c r="P3" s="204" t="s">
        <v>231</v>
      </c>
      <c r="Q3" s="204"/>
      <c r="R3" s="204" t="s">
        <v>232</v>
      </c>
      <c r="S3" s="204"/>
      <c r="T3" s="204" t="s">
        <v>233</v>
      </c>
      <c r="U3" s="204"/>
      <c r="V3" s="205" t="s">
        <v>56</v>
      </c>
      <c r="W3" s="205" t="s">
        <v>57</v>
      </c>
    </row>
    <row r="4" spans="1:31" ht="25.5" customHeight="1" x14ac:dyDescent="0.25">
      <c r="A4" s="204"/>
      <c r="B4" s="204"/>
      <c r="C4" s="215"/>
      <c r="D4" s="215"/>
      <c r="E4" s="215"/>
      <c r="F4" s="215"/>
      <c r="G4" s="215"/>
      <c r="I4" s="210"/>
      <c r="J4" s="57" t="s">
        <v>56</v>
      </c>
      <c r="K4" s="57" t="s">
        <v>57</v>
      </c>
      <c r="L4" s="57" t="s">
        <v>56</v>
      </c>
      <c r="M4" s="57" t="s">
        <v>57</v>
      </c>
      <c r="N4" s="57" t="s">
        <v>56</v>
      </c>
      <c r="O4" s="57" t="s">
        <v>57</v>
      </c>
      <c r="P4" s="57" t="s">
        <v>56</v>
      </c>
      <c r="Q4" s="57" t="s">
        <v>57</v>
      </c>
      <c r="R4" s="57" t="s">
        <v>56</v>
      </c>
      <c r="S4" s="57" t="s">
        <v>57</v>
      </c>
      <c r="T4" s="57" t="s">
        <v>56</v>
      </c>
      <c r="U4" s="57" t="s">
        <v>57</v>
      </c>
      <c r="V4" s="206"/>
      <c r="W4" s="206"/>
    </row>
    <row r="5" spans="1:31" s="38" customFormat="1" ht="21" customHeight="1" x14ac:dyDescent="0.25">
      <c r="A5" s="45">
        <v>1</v>
      </c>
      <c r="B5" s="162">
        <v>6</v>
      </c>
      <c r="C5" s="162">
        <f>G5*0.2</f>
        <v>1.2000000000000002</v>
      </c>
      <c r="D5" s="162">
        <f>G5*0.4</f>
        <v>2.4000000000000004</v>
      </c>
      <c r="E5" s="162">
        <f>G5*0.6</f>
        <v>3.5999999999999996</v>
      </c>
      <c r="F5" s="162">
        <f>G5*0.8</f>
        <v>4.8000000000000007</v>
      </c>
      <c r="G5" s="162">
        <v>6</v>
      </c>
      <c r="I5" s="45" t="s">
        <v>203</v>
      </c>
      <c r="J5" s="159">
        <f>V5</f>
        <v>1804</v>
      </c>
      <c r="K5" s="159">
        <f>W5</f>
        <v>3574</v>
      </c>
      <c r="L5" s="160">
        <f>$T5*0.2</f>
        <v>200</v>
      </c>
      <c r="M5" s="160">
        <f>$U5*0.2</f>
        <v>400</v>
      </c>
      <c r="N5" s="160">
        <f>$T5*0.4</f>
        <v>400</v>
      </c>
      <c r="O5" s="160">
        <f>$U5*0.4</f>
        <v>800</v>
      </c>
      <c r="P5" s="160">
        <f>$T5*0.6</f>
        <v>600</v>
      </c>
      <c r="Q5" s="160">
        <f>$U5*0.6</f>
        <v>1200</v>
      </c>
      <c r="R5" s="160">
        <f>$T5*0.8</f>
        <v>800</v>
      </c>
      <c r="S5" s="160">
        <f>$U5*0.8</f>
        <v>1600</v>
      </c>
      <c r="T5" s="161">
        <v>1000</v>
      </c>
      <c r="U5" s="161">
        <v>2000</v>
      </c>
      <c r="V5" s="161">
        <v>1804</v>
      </c>
      <c r="W5" s="161">
        <v>3574</v>
      </c>
      <c r="X5" s="59"/>
      <c r="Y5" s="59"/>
      <c r="Z5" s="59"/>
      <c r="AA5" s="59"/>
      <c r="AB5" s="59"/>
      <c r="AC5" s="59"/>
      <c r="AD5" s="59"/>
      <c r="AE5" s="59"/>
    </row>
    <row r="6" spans="1:31" s="38" customFormat="1" ht="21" customHeight="1" x14ac:dyDescent="0.25">
      <c r="A6" s="45">
        <v>2</v>
      </c>
      <c r="B6" s="162">
        <v>697</v>
      </c>
      <c r="C6" s="162">
        <f t="shared" ref="C6:C15" si="0">G6*0.2</f>
        <v>93.75</v>
      </c>
      <c r="D6" s="162">
        <f t="shared" ref="D6:D15" si="1">G6*0.4</f>
        <v>187.5</v>
      </c>
      <c r="E6" s="162">
        <f t="shared" ref="E6:E15" si="2">G6*0.6</f>
        <v>281.25</v>
      </c>
      <c r="F6" s="162">
        <f t="shared" ref="F6:F15" si="3">G6*0.8</f>
        <v>375</v>
      </c>
      <c r="G6" s="162">
        <v>468.75</v>
      </c>
      <c r="H6" s="62"/>
      <c r="I6" s="45" t="s">
        <v>36</v>
      </c>
      <c r="J6" s="159">
        <f t="shared" ref="J6:J13" si="4">V6</f>
        <v>4816.68</v>
      </c>
      <c r="K6" s="159">
        <f t="shared" ref="K6:K13" si="5">W6</f>
        <v>9542.58</v>
      </c>
      <c r="L6" s="160">
        <f t="shared" ref="L6:L13" si="6">$T6*0.2</f>
        <v>534</v>
      </c>
      <c r="M6" s="160">
        <f t="shared" ref="M6:M13" si="7">$U6*0.2</f>
        <v>1068</v>
      </c>
      <c r="N6" s="160">
        <f t="shared" ref="N6:N13" si="8">$T6*0.4</f>
        <v>1068</v>
      </c>
      <c r="O6" s="160">
        <f t="shared" ref="O6:O13" si="9">$U6*0.4</f>
        <v>2136</v>
      </c>
      <c r="P6" s="160">
        <f t="shared" ref="P6:P13" si="10">$T6*0.6</f>
        <v>1602</v>
      </c>
      <c r="Q6" s="160">
        <f t="shared" ref="Q6:Q13" si="11">$U6*0.6</f>
        <v>3204</v>
      </c>
      <c r="R6" s="160">
        <f t="shared" ref="R6:R13" si="12">$T6*0.8</f>
        <v>2136</v>
      </c>
      <c r="S6" s="160">
        <f t="shared" ref="S6:S13" si="13">$U6*0.8</f>
        <v>4272</v>
      </c>
      <c r="T6" s="160">
        <f>T$5*Hidden!$S4</f>
        <v>2670</v>
      </c>
      <c r="U6" s="160">
        <f>U$5*Hidden!$S4</f>
        <v>5340</v>
      </c>
      <c r="V6" s="161">
        <f>V$5*Hidden!$S4</f>
        <v>4816.68</v>
      </c>
      <c r="W6" s="161">
        <f>W$5*Hidden!$S4</f>
        <v>9542.58</v>
      </c>
      <c r="X6" s="59"/>
      <c r="Y6" s="59"/>
      <c r="Z6" s="59"/>
      <c r="AA6" s="59"/>
      <c r="AB6" s="59"/>
      <c r="AC6" s="59"/>
      <c r="AD6" s="59"/>
      <c r="AE6" s="59"/>
    </row>
    <row r="7" spans="1:31" s="38" customFormat="1" ht="21" customHeight="1" x14ac:dyDescent="0.25">
      <c r="A7" s="45">
        <v>3</v>
      </c>
      <c r="B7" s="162">
        <v>1294</v>
      </c>
      <c r="C7" s="162">
        <f t="shared" si="0"/>
        <v>93.75</v>
      </c>
      <c r="D7" s="162">
        <f t="shared" si="1"/>
        <v>187.5</v>
      </c>
      <c r="E7" s="162">
        <f t="shared" si="2"/>
        <v>281.25</v>
      </c>
      <c r="F7" s="162">
        <f t="shared" si="3"/>
        <v>375</v>
      </c>
      <c r="G7" s="162">
        <v>468.75</v>
      </c>
      <c r="I7" s="45" t="s">
        <v>204</v>
      </c>
      <c r="J7" s="159">
        <f t="shared" si="4"/>
        <v>12032.68</v>
      </c>
      <c r="K7" s="159">
        <f t="shared" si="5"/>
        <v>23838.579999999998</v>
      </c>
      <c r="L7" s="160">
        <f t="shared" si="6"/>
        <v>1334</v>
      </c>
      <c r="M7" s="160">
        <f t="shared" si="7"/>
        <v>2668</v>
      </c>
      <c r="N7" s="160">
        <f t="shared" si="8"/>
        <v>2668</v>
      </c>
      <c r="O7" s="160">
        <f t="shared" si="9"/>
        <v>5336</v>
      </c>
      <c r="P7" s="160">
        <f t="shared" si="10"/>
        <v>4002</v>
      </c>
      <c r="Q7" s="160">
        <f t="shared" si="11"/>
        <v>8004</v>
      </c>
      <c r="R7" s="160">
        <f t="shared" si="12"/>
        <v>5336</v>
      </c>
      <c r="S7" s="160">
        <f t="shared" si="13"/>
        <v>10672</v>
      </c>
      <c r="T7" s="160">
        <f>T$5*Hidden!$S5</f>
        <v>6670</v>
      </c>
      <c r="U7" s="160">
        <f>U$5*Hidden!$S5</f>
        <v>13340</v>
      </c>
      <c r="V7" s="161">
        <f>V$5*Hidden!$S5</f>
        <v>12032.68</v>
      </c>
      <c r="W7" s="161">
        <f>W$5*Hidden!$S5</f>
        <v>23838.579999999998</v>
      </c>
      <c r="X7" s="59"/>
      <c r="Y7" s="59"/>
      <c r="Z7" s="59"/>
      <c r="AA7" s="59"/>
      <c r="AB7" s="59"/>
      <c r="AC7" s="59"/>
      <c r="AD7" s="59"/>
      <c r="AE7" s="59"/>
    </row>
    <row r="8" spans="1:31" s="38" customFormat="1" ht="21" customHeight="1" x14ac:dyDescent="0.25">
      <c r="A8" s="45">
        <v>4</v>
      </c>
      <c r="B8" s="162">
        <v>259</v>
      </c>
      <c r="C8" s="162">
        <f t="shared" si="0"/>
        <v>51.800000000000004</v>
      </c>
      <c r="D8" s="162">
        <f t="shared" si="1"/>
        <v>103.60000000000001</v>
      </c>
      <c r="E8" s="162">
        <f t="shared" si="2"/>
        <v>155.4</v>
      </c>
      <c r="F8" s="162">
        <f t="shared" si="3"/>
        <v>207.20000000000002</v>
      </c>
      <c r="G8" s="162">
        <v>259</v>
      </c>
      <c r="I8" s="45" t="s">
        <v>38</v>
      </c>
      <c r="J8" s="159">
        <f t="shared" si="4"/>
        <v>19248.68</v>
      </c>
      <c r="K8" s="159">
        <f t="shared" si="5"/>
        <v>38134.58</v>
      </c>
      <c r="L8" s="160">
        <f t="shared" si="6"/>
        <v>2134</v>
      </c>
      <c r="M8" s="160">
        <f t="shared" si="7"/>
        <v>4268</v>
      </c>
      <c r="N8" s="160">
        <f t="shared" si="8"/>
        <v>4268</v>
      </c>
      <c r="O8" s="160">
        <f t="shared" si="9"/>
        <v>8536</v>
      </c>
      <c r="P8" s="160">
        <f t="shared" si="10"/>
        <v>6402</v>
      </c>
      <c r="Q8" s="160">
        <f t="shared" si="11"/>
        <v>12804</v>
      </c>
      <c r="R8" s="160">
        <f t="shared" si="12"/>
        <v>8536</v>
      </c>
      <c r="S8" s="160">
        <f t="shared" si="13"/>
        <v>17072</v>
      </c>
      <c r="T8" s="160">
        <f>T$5*Hidden!$S6</f>
        <v>10670</v>
      </c>
      <c r="U8" s="160">
        <f>U$5*Hidden!$S6</f>
        <v>21340</v>
      </c>
      <c r="V8" s="161">
        <f>V$5*Hidden!$S6</f>
        <v>19248.68</v>
      </c>
      <c r="W8" s="161">
        <f>W$5*Hidden!$S6</f>
        <v>38134.58</v>
      </c>
      <c r="X8" s="59"/>
      <c r="Y8" s="59"/>
      <c r="Z8" s="59"/>
      <c r="AA8" s="59"/>
      <c r="AB8" s="59"/>
      <c r="AC8" s="59"/>
      <c r="AD8" s="59"/>
      <c r="AE8" s="59"/>
    </row>
    <row r="9" spans="1:31" s="38" customFormat="1" ht="21" customHeight="1" x14ac:dyDescent="0.25">
      <c r="A9" s="45">
        <v>5</v>
      </c>
      <c r="B9" s="162">
        <v>0</v>
      </c>
      <c r="C9" s="162">
        <f t="shared" si="0"/>
        <v>0</v>
      </c>
      <c r="D9" s="162">
        <f t="shared" si="1"/>
        <v>0</v>
      </c>
      <c r="E9" s="162">
        <f t="shared" si="2"/>
        <v>0</v>
      </c>
      <c r="F9" s="162">
        <f t="shared" si="3"/>
        <v>0</v>
      </c>
      <c r="G9" s="162">
        <v>0</v>
      </c>
      <c r="I9" s="45" t="s">
        <v>39</v>
      </c>
      <c r="J9" s="159">
        <f t="shared" si="4"/>
        <v>42087.32</v>
      </c>
      <c r="K9" s="159">
        <f t="shared" si="5"/>
        <v>83381.42</v>
      </c>
      <c r="L9" s="160">
        <f t="shared" si="6"/>
        <v>4666</v>
      </c>
      <c r="M9" s="160">
        <f t="shared" si="7"/>
        <v>9332</v>
      </c>
      <c r="N9" s="160">
        <f t="shared" si="8"/>
        <v>9332</v>
      </c>
      <c r="O9" s="160">
        <f t="shared" si="9"/>
        <v>18664</v>
      </c>
      <c r="P9" s="160">
        <f t="shared" si="10"/>
        <v>13998</v>
      </c>
      <c r="Q9" s="160">
        <f t="shared" si="11"/>
        <v>27996</v>
      </c>
      <c r="R9" s="160">
        <f t="shared" si="12"/>
        <v>18664</v>
      </c>
      <c r="S9" s="160">
        <f t="shared" si="13"/>
        <v>37328</v>
      </c>
      <c r="T9" s="160">
        <f>T$5*Hidden!$S7</f>
        <v>23330</v>
      </c>
      <c r="U9" s="160">
        <f>U$5*Hidden!$S7</f>
        <v>46660</v>
      </c>
      <c r="V9" s="161">
        <f>V$5*Hidden!$S7</f>
        <v>42087.32</v>
      </c>
      <c r="W9" s="161">
        <f>W$5*Hidden!$S7</f>
        <v>83381.42</v>
      </c>
      <c r="X9" s="59"/>
      <c r="Y9" s="59"/>
      <c r="Z9" s="59"/>
      <c r="AA9" s="59"/>
      <c r="AB9" s="59"/>
      <c r="AC9" s="59"/>
      <c r="AD9" s="59"/>
      <c r="AE9" s="59"/>
    </row>
    <row r="10" spans="1:31" s="38" customFormat="1" ht="21" customHeight="1" x14ac:dyDescent="0.25">
      <c r="A10" s="45">
        <v>6</v>
      </c>
      <c r="B10" s="162">
        <v>236</v>
      </c>
      <c r="C10" s="162">
        <f t="shared" si="0"/>
        <v>47.2</v>
      </c>
      <c r="D10" s="162">
        <f t="shared" si="1"/>
        <v>94.4</v>
      </c>
      <c r="E10" s="162">
        <f t="shared" si="2"/>
        <v>141.6</v>
      </c>
      <c r="F10" s="162">
        <f t="shared" si="3"/>
        <v>188.8</v>
      </c>
      <c r="G10" s="162">
        <v>236</v>
      </c>
      <c r="I10" s="45" t="s">
        <v>40</v>
      </c>
      <c r="J10" s="159">
        <f t="shared" si="4"/>
        <v>75768</v>
      </c>
      <c r="K10" s="159">
        <f t="shared" si="5"/>
        <v>150108</v>
      </c>
      <c r="L10" s="160">
        <f t="shared" si="6"/>
        <v>8400</v>
      </c>
      <c r="M10" s="160">
        <f t="shared" si="7"/>
        <v>16800</v>
      </c>
      <c r="N10" s="160">
        <f t="shared" si="8"/>
        <v>16800</v>
      </c>
      <c r="O10" s="160">
        <f t="shared" si="9"/>
        <v>33600</v>
      </c>
      <c r="P10" s="160">
        <f t="shared" si="10"/>
        <v>25200</v>
      </c>
      <c r="Q10" s="160">
        <f t="shared" si="11"/>
        <v>50400</v>
      </c>
      <c r="R10" s="160">
        <f t="shared" si="12"/>
        <v>33600</v>
      </c>
      <c r="S10" s="160">
        <f t="shared" si="13"/>
        <v>67200</v>
      </c>
      <c r="T10" s="160">
        <f>T$5*Hidden!$S8</f>
        <v>42000</v>
      </c>
      <c r="U10" s="160">
        <f>U$5*Hidden!$S8</f>
        <v>84000</v>
      </c>
      <c r="V10" s="161">
        <f>V$5*Hidden!$S8</f>
        <v>75768</v>
      </c>
      <c r="W10" s="161">
        <f>W$5*Hidden!$S8</f>
        <v>150108</v>
      </c>
      <c r="X10" s="59"/>
      <c r="Y10" s="59"/>
      <c r="Z10" s="59"/>
      <c r="AA10" s="59"/>
      <c r="AB10" s="59"/>
      <c r="AC10" s="59"/>
      <c r="AD10" s="59"/>
      <c r="AE10" s="59"/>
    </row>
    <row r="11" spans="1:31" s="38" customFormat="1" ht="21" customHeight="1" x14ac:dyDescent="0.25">
      <c r="A11" s="45">
        <v>7</v>
      </c>
      <c r="B11" s="162">
        <v>950</v>
      </c>
      <c r="C11" s="162">
        <f t="shared" si="0"/>
        <v>93.75</v>
      </c>
      <c r="D11" s="162">
        <f t="shared" si="1"/>
        <v>187.5</v>
      </c>
      <c r="E11" s="162">
        <f t="shared" si="2"/>
        <v>281.25</v>
      </c>
      <c r="F11" s="162">
        <f t="shared" si="3"/>
        <v>375</v>
      </c>
      <c r="G11" s="162">
        <v>468.75</v>
      </c>
      <c r="I11" s="45" t="s">
        <v>41</v>
      </c>
      <c r="J11" s="159">
        <f t="shared" si="4"/>
        <v>168367.32</v>
      </c>
      <c r="K11" s="159">
        <f t="shared" si="5"/>
        <v>333561.42</v>
      </c>
      <c r="L11" s="160">
        <f t="shared" si="6"/>
        <v>18666</v>
      </c>
      <c r="M11" s="160">
        <f t="shared" si="7"/>
        <v>37332</v>
      </c>
      <c r="N11" s="160">
        <f t="shared" si="8"/>
        <v>37332</v>
      </c>
      <c r="O11" s="160">
        <f t="shared" si="9"/>
        <v>74664</v>
      </c>
      <c r="P11" s="160">
        <f t="shared" si="10"/>
        <v>55998</v>
      </c>
      <c r="Q11" s="160">
        <f t="shared" si="11"/>
        <v>111996</v>
      </c>
      <c r="R11" s="160">
        <f t="shared" si="12"/>
        <v>74664</v>
      </c>
      <c r="S11" s="160">
        <f t="shared" si="13"/>
        <v>149328</v>
      </c>
      <c r="T11" s="160">
        <f>T$5*Hidden!$S9</f>
        <v>93330</v>
      </c>
      <c r="U11" s="160">
        <f>U$5*Hidden!$S9</f>
        <v>186660</v>
      </c>
      <c r="V11" s="161">
        <f>V$5*Hidden!$S9</f>
        <v>168367.32</v>
      </c>
      <c r="W11" s="161">
        <f>W$5*Hidden!$S9</f>
        <v>333561.42</v>
      </c>
      <c r="X11" s="59"/>
      <c r="Y11" s="59"/>
      <c r="Z11" s="59"/>
      <c r="AA11" s="59"/>
      <c r="AB11" s="59"/>
      <c r="AC11" s="59"/>
      <c r="AD11" s="59"/>
      <c r="AE11" s="59"/>
    </row>
    <row r="12" spans="1:31" s="38" customFormat="1" ht="21" customHeight="1" x14ac:dyDescent="0.25">
      <c r="A12" s="45">
        <v>8</v>
      </c>
      <c r="B12" s="162">
        <v>0</v>
      </c>
      <c r="C12" s="162">
        <f t="shared" si="0"/>
        <v>0</v>
      </c>
      <c r="D12" s="162">
        <f t="shared" si="1"/>
        <v>0</v>
      </c>
      <c r="E12" s="162">
        <f t="shared" si="2"/>
        <v>0</v>
      </c>
      <c r="F12" s="162">
        <f t="shared" si="3"/>
        <v>0</v>
      </c>
      <c r="G12" s="162">
        <v>0</v>
      </c>
      <c r="I12" s="45" t="s">
        <v>42</v>
      </c>
      <c r="J12" s="159">
        <f t="shared" si="4"/>
        <v>288640</v>
      </c>
      <c r="K12" s="159">
        <f t="shared" si="5"/>
        <v>571840</v>
      </c>
      <c r="L12" s="160">
        <f t="shared" si="6"/>
        <v>32000</v>
      </c>
      <c r="M12" s="160">
        <f t="shared" si="7"/>
        <v>64000</v>
      </c>
      <c r="N12" s="160">
        <f t="shared" si="8"/>
        <v>64000</v>
      </c>
      <c r="O12" s="160">
        <f t="shared" si="9"/>
        <v>128000</v>
      </c>
      <c r="P12" s="160">
        <f t="shared" si="10"/>
        <v>96000</v>
      </c>
      <c r="Q12" s="160">
        <f t="shared" si="11"/>
        <v>192000</v>
      </c>
      <c r="R12" s="160">
        <f t="shared" si="12"/>
        <v>128000</v>
      </c>
      <c r="S12" s="160">
        <f t="shared" si="13"/>
        <v>256000</v>
      </c>
      <c r="T12" s="160">
        <f>T$5*Hidden!$S10</f>
        <v>160000</v>
      </c>
      <c r="U12" s="160">
        <f>U$5*Hidden!$S10</f>
        <v>320000</v>
      </c>
      <c r="V12" s="161">
        <f>V$5*Hidden!$S10</f>
        <v>288640</v>
      </c>
      <c r="W12" s="161">
        <f>W$5*Hidden!$S10</f>
        <v>571840</v>
      </c>
      <c r="X12" s="59"/>
      <c r="Y12" s="59"/>
      <c r="Z12" s="59"/>
      <c r="AA12" s="59"/>
      <c r="AB12" s="59"/>
      <c r="AC12" s="59"/>
      <c r="AD12" s="59"/>
      <c r="AE12" s="59"/>
    </row>
    <row r="13" spans="1:31" s="38" customFormat="1" ht="21" customHeight="1" x14ac:dyDescent="0.25">
      <c r="A13" s="45">
        <v>9</v>
      </c>
      <c r="B13" s="162">
        <v>618</v>
      </c>
      <c r="C13" s="162">
        <f t="shared" si="0"/>
        <v>93.75</v>
      </c>
      <c r="D13" s="162">
        <f t="shared" si="1"/>
        <v>187.5</v>
      </c>
      <c r="E13" s="162">
        <f t="shared" si="2"/>
        <v>281.25</v>
      </c>
      <c r="F13" s="162">
        <f t="shared" si="3"/>
        <v>375</v>
      </c>
      <c r="G13" s="162">
        <v>468.75</v>
      </c>
      <c r="I13" s="45" t="s">
        <v>205</v>
      </c>
      <c r="J13" s="159">
        <f t="shared" si="4"/>
        <v>457007.32</v>
      </c>
      <c r="K13" s="159">
        <f t="shared" si="5"/>
        <v>905401.42</v>
      </c>
      <c r="L13" s="160">
        <f t="shared" si="6"/>
        <v>50666</v>
      </c>
      <c r="M13" s="160">
        <f t="shared" si="7"/>
        <v>101332</v>
      </c>
      <c r="N13" s="160">
        <f t="shared" si="8"/>
        <v>101332</v>
      </c>
      <c r="O13" s="160">
        <f t="shared" si="9"/>
        <v>202664</v>
      </c>
      <c r="P13" s="160">
        <f t="shared" si="10"/>
        <v>151998</v>
      </c>
      <c r="Q13" s="160">
        <f t="shared" si="11"/>
        <v>303996</v>
      </c>
      <c r="R13" s="160">
        <f t="shared" si="12"/>
        <v>202664</v>
      </c>
      <c r="S13" s="160">
        <f t="shared" si="13"/>
        <v>405328</v>
      </c>
      <c r="T13" s="160">
        <f>T$5*Hidden!$S11</f>
        <v>253330</v>
      </c>
      <c r="U13" s="160">
        <f>U$5*Hidden!$S11</f>
        <v>506660</v>
      </c>
      <c r="V13" s="160">
        <f>V$5*Hidden!$S11</f>
        <v>457007.32</v>
      </c>
      <c r="W13" s="161">
        <f>W$5*Hidden!$S11</f>
        <v>905401.42</v>
      </c>
      <c r="X13" s="59"/>
      <c r="Y13" s="59"/>
      <c r="Z13" s="59"/>
      <c r="AA13" s="59"/>
      <c r="AB13" s="59"/>
      <c r="AC13" s="59"/>
      <c r="AD13" s="59"/>
      <c r="AE13" s="59"/>
    </row>
    <row r="14" spans="1:31" ht="21" customHeight="1" x14ac:dyDescent="0.25">
      <c r="A14" s="45">
        <v>10</v>
      </c>
      <c r="B14" s="162">
        <v>1324</v>
      </c>
      <c r="C14" s="162">
        <f t="shared" si="0"/>
        <v>93.75</v>
      </c>
      <c r="D14" s="162">
        <f t="shared" si="1"/>
        <v>187.5</v>
      </c>
      <c r="E14" s="162">
        <f t="shared" si="2"/>
        <v>281.25</v>
      </c>
      <c r="F14" s="162">
        <f t="shared" si="3"/>
        <v>375</v>
      </c>
      <c r="G14" s="162">
        <v>468.75</v>
      </c>
      <c r="L14" s="58"/>
      <c r="M14" s="58"/>
      <c r="N14" s="58"/>
      <c r="O14" s="58"/>
      <c r="P14" s="58"/>
      <c r="Q14" s="58"/>
      <c r="R14" s="58"/>
      <c r="S14" s="58"/>
      <c r="V14" s="58"/>
      <c r="W14" s="58"/>
    </row>
    <row r="15" spans="1:31" ht="21" customHeight="1" x14ac:dyDescent="0.25">
      <c r="A15" s="45">
        <v>11</v>
      </c>
      <c r="B15" s="162">
        <v>1169</v>
      </c>
      <c r="C15" s="162">
        <f t="shared" si="0"/>
        <v>93.75</v>
      </c>
      <c r="D15" s="162">
        <f t="shared" si="1"/>
        <v>187.5</v>
      </c>
      <c r="E15" s="162">
        <f t="shared" si="2"/>
        <v>281.25</v>
      </c>
      <c r="F15" s="162">
        <f t="shared" si="3"/>
        <v>375</v>
      </c>
      <c r="G15" s="162">
        <v>468.75</v>
      </c>
      <c r="L15" s="58"/>
      <c r="M15" s="58"/>
      <c r="N15" s="58"/>
      <c r="O15" s="58"/>
      <c r="R15" s="58"/>
      <c r="S15" s="58"/>
      <c r="T15" s="58"/>
      <c r="U15" s="58"/>
    </row>
    <row r="16" spans="1:31" ht="21" customHeight="1" x14ac:dyDescent="0.25">
      <c r="A16" s="49"/>
      <c r="B16" s="50"/>
      <c r="C16" s="50"/>
      <c r="D16" s="50"/>
      <c r="E16" s="50"/>
      <c r="F16" s="50"/>
      <c r="G16" s="50"/>
      <c r="L16" s="58"/>
      <c r="M16" s="58"/>
      <c r="N16" s="58"/>
      <c r="O16" s="58"/>
      <c r="P16" s="58"/>
      <c r="Q16" s="58"/>
      <c r="R16" s="58"/>
      <c r="S16" s="58"/>
      <c r="V16" s="58"/>
      <c r="W16" s="58"/>
    </row>
    <row r="17" spans="12:23" x14ac:dyDescent="0.25">
      <c r="L17" s="58"/>
      <c r="M17" s="58"/>
      <c r="N17" s="58"/>
      <c r="O17" s="58"/>
      <c r="P17" s="58"/>
      <c r="Q17" s="58"/>
      <c r="R17" s="58"/>
      <c r="S17" s="58"/>
      <c r="V17" s="58"/>
      <c r="W17" s="58"/>
    </row>
    <row r="18" spans="12:23" x14ac:dyDescent="0.25">
      <c r="L18" s="58"/>
      <c r="M18" s="58"/>
      <c r="N18" s="58"/>
      <c r="O18" s="58"/>
      <c r="P18" s="58"/>
      <c r="Q18" s="58"/>
      <c r="R18" s="58"/>
      <c r="S18" s="58"/>
      <c r="V18" s="58"/>
      <c r="W18" s="58"/>
    </row>
    <row r="19" spans="12:23" x14ac:dyDescent="0.25">
      <c r="L19" s="58"/>
      <c r="M19" s="58"/>
      <c r="N19" s="58"/>
      <c r="O19" s="58"/>
      <c r="P19" s="58"/>
      <c r="Q19" s="58"/>
      <c r="R19" s="58"/>
      <c r="S19" s="58"/>
      <c r="V19" s="58"/>
      <c r="W19" s="58"/>
    </row>
    <row r="20" spans="12:23" x14ac:dyDescent="0.25">
      <c r="L20" s="58"/>
      <c r="M20" s="58"/>
      <c r="N20" s="58"/>
      <c r="O20" s="58"/>
      <c r="P20" s="58"/>
      <c r="Q20" s="58"/>
      <c r="R20" s="58"/>
      <c r="S20" s="58"/>
      <c r="V20" s="58"/>
      <c r="W20" s="58"/>
    </row>
    <row r="21" spans="12:23" x14ac:dyDescent="0.25">
      <c r="L21" s="58"/>
      <c r="M21" s="58"/>
      <c r="N21" s="58"/>
      <c r="O21" s="58"/>
      <c r="P21" s="58"/>
      <c r="Q21" s="58"/>
      <c r="R21" s="58"/>
      <c r="S21" s="58"/>
      <c r="V21" s="58"/>
      <c r="W21" s="58"/>
    </row>
  </sheetData>
  <sheetProtection algorithmName="SHA-512" hashValue="Fp0/2jyjOTBbY7sDoQN9I8yK6vrZ6Wd6KqU3DKaNRpuYecKtBq59B009nyyqyyY17eHXIOD/zE3N6r8CgH7Mcg==" saltValue="pXTXCRJOqz1ZgWKwMFjPkQ==" spinCount="100000" sheet="1" selectLockedCells="1"/>
  <mergeCells count="20">
    <mergeCell ref="J1:K3"/>
    <mergeCell ref="L2:U2"/>
    <mergeCell ref="V2:W2"/>
    <mergeCell ref="L3:M3"/>
    <mergeCell ref="N3:O3"/>
    <mergeCell ref="P3:Q3"/>
    <mergeCell ref="I1:I4"/>
    <mergeCell ref="B1:B4"/>
    <mergeCell ref="A1:A4"/>
    <mergeCell ref="C1:G2"/>
    <mergeCell ref="G3:G4"/>
    <mergeCell ref="F3:F4"/>
    <mergeCell ref="E3:E4"/>
    <mergeCell ref="D3:D4"/>
    <mergeCell ref="C3:C4"/>
    <mergeCell ref="R3:S3"/>
    <mergeCell ref="T3:U3"/>
    <mergeCell ref="W3:W4"/>
    <mergeCell ref="V3:V4"/>
    <mergeCell ref="L1:W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5F1F6-313E-4887-A069-7EC5D7A548A7}">
  <sheetPr>
    <pageSetUpPr fitToPage="1"/>
  </sheetPr>
  <dimension ref="B2:G75"/>
  <sheetViews>
    <sheetView showGridLines="0" zoomScale="90" zoomScaleNormal="90" workbookViewId="0">
      <selection activeCell="F7" sqref="F7"/>
    </sheetView>
  </sheetViews>
  <sheetFormatPr defaultColWidth="8.85546875" defaultRowHeight="15.75" x14ac:dyDescent="0.25"/>
  <cols>
    <col min="1" max="1" width="3" style="15" customWidth="1"/>
    <col min="2" max="2" width="46.5703125" style="23" customWidth="1"/>
    <col min="3" max="3" width="10.7109375" style="11" customWidth="1"/>
    <col min="4" max="4" width="20.28515625" style="11" customWidth="1"/>
    <col min="5" max="5" width="12" style="11" customWidth="1"/>
    <col min="6" max="6" width="15.7109375" style="23" bestFit="1" customWidth="1"/>
    <col min="7" max="7" width="16.7109375" style="24" customWidth="1"/>
    <col min="8" max="16384" width="8.85546875" style="15"/>
  </cols>
  <sheetData>
    <row r="2" spans="2:7" s="25" customFormat="1" ht="45" x14ac:dyDescent="0.25">
      <c r="B2" s="34" t="s">
        <v>20</v>
      </c>
      <c r="C2" s="35" t="s">
        <v>60</v>
      </c>
      <c r="D2" s="35" t="s">
        <v>61</v>
      </c>
      <c r="E2" s="35" t="s">
        <v>62</v>
      </c>
      <c r="F2" s="36" t="s">
        <v>63</v>
      </c>
      <c r="G2" s="37" t="s">
        <v>64</v>
      </c>
    </row>
    <row r="3" spans="2:7" s="9" customFormat="1" ht="3" customHeight="1" x14ac:dyDescent="0.25">
      <c r="B3" s="5"/>
      <c r="C3" s="6"/>
      <c r="D3" s="6"/>
      <c r="E3" s="6"/>
      <c r="F3" s="7"/>
      <c r="G3" s="8"/>
    </row>
    <row r="4" spans="2:7" s="26" customFormat="1" ht="18" customHeight="1" x14ac:dyDescent="0.25">
      <c r="B4" s="27" t="s">
        <v>65</v>
      </c>
      <c r="C4" s="28"/>
      <c r="D4" s="28"/>
      <c r="E4" s="28"/>
      <c r="F4" s="32"/>
      <c r="G4" s="33"/>
    </row>
    <row r="5" spans="2:7" x14ac:dyDescent="0.25">
      <c r="B5" s="10" t="s">
        <v>66</v>
      </c>
      <c r="C5" s="11" t="s">
        <v>67</v>
      </c>
      <c r="D5" s="11" t="s">
        <v>68</v>
      </c>
      <c r="E5" s="12">
        <v>0.99</v>
      </c>
      <c r="F5" s="13">
        <v>3.23</v>
      </c>
      <c r="G5" s="14">
        <v>3.2</v>
      </c>
    </row>
    <row r="6" spans="2:7" x14ac:dyDescent="0.25">
      <c r="B6" s="10" t="s">
        <v>69</v>
      </c>
      <c r="C6" s="11" t="s">
        <v>70</v>
      </c>
      <c r="D6" s="11" t="s">
        <v>68</v>
      </c>
      <c r="E6" s="12">
        <v>0.56000000000000005</v>
      </c>
      <c r="F6" s="13">
        <v>3.23</v>
      </c>
      <c r="G6" s="14">
        <v>1.81</v>
      </c>
    </row>
    <row r="7" spans="2:7" x14ac:dyDescent="0.25">
      <c r="B7" s="10" t="s">
        <v>71</v>
      </c>
      <c r="C7" s="11" t="s">
        <v>72</v>
      </c>
      <c r="D7" s="11" t="s">
        <v>68</v>
      </c>
      <c r="E7" s="12">
        <v>0.44</v>
      </c>
      <c r="F7" s="13">
        <v>3.23</v>
      </c>
      <c r="G7" s="14">
        <v>1.42</v>
      </c>
    </row>
    <row r="8" spans="2:7" x14ac:dyDescent="0.25">
      <c r="B8" s="10" t="s">
        <v>73</v>
      </c>
      <c r="C8" s="11" t="s">
        <v>74</v>
      </c>
      <c r="D8" s="11" t="s">
        <v>75</v>
      </c>
      <c r="E8" s="12">
        <v>0.25</v>
      </c>
      <c r="F8" s="13">
        <v>0.97</v>
      </c>
      <c r="G8" s="14">
        <v>0.24</v>
      </c>
    </row>
    <row r="9" spans="2:7" x14ac:dyDescent="0.25">
      <c r="B9" s="10" t="s">
        <v>76</v>
      </c>
      <c r="C9" s="11" t="s">
        <v>77</v>
      </c>
      <c r="D9" s="11" t="s">
        <v>68</v>
      </c>
      <c r="E9" s="12">
        <v>0.36</v>
      </c>
      <c r="F9" s="13">
        <v>2.77</v>
      </c>
      <c r="G9" s="14">
        <v>1</v>
      </c>
    </row>
    <row r="10" spans="2:7" x14ac:dyDescent="0.25">
      <c r="B10" s="10" t="s">
        <v>27</v>
      </c>
      <c r="C10" s="11" t="s">
        <v>78</v>
      </c>
      <c r="D10" s="11" t="s">
        <v>68</v>
      </c>
      <c r="E10" s="12">
        <v>0.3</v>
      </c>
      <c r="F10" s="13">
        <v>2.88</v>
      </c>
      <c r="G10" s="14">
        <v>0.86</v>
      </c>
    </row>
    <row r="11" spans="2:7" x14ac:dyDescent="0.25">
      <c r="B11" s="10" t="s">
        <v>79</v>
      </c>
      <c r="C11" s="11" t="s">
        <v>80</v>
      </c>
      <c r="D11" s="11" t="s">
        <v>81</v>
      </c>
      <c r="E11" s="12">
        <v>0.26</v>
      </c>
      <c r="F11" s="13">
        <v>1.48</v>
      </c>
      <c r="G11" s="14">
        <v>0.38</v>
      </c>
    </row>
    <row r="12" spans="2:7" x14ac:dyDescent="0.25">
      <c r="B12" s="10" t="s">
        <v>28</v>
      </c>
      <c r="C12" s="11" t="s">
        <v>82</v>
      </c>
      <c r="D12" s="11" t="s">
        <v>68</v>
      </c>
      <c r="E12" s="12">
        <v>0.16</v>
      </c>
      <c r="F12" s="13">
        <v>2.88</v>
      </c>
      <c r="G12" s="14">
        <v>0.46</v>
      </c>
    </row>
    <row r="13" spans="2:7" s="26" customFormat="1" ht="18" customHeight="1" x14ac:dyDescent="0.25">
      <c r="B13" s="27" t="s">
        <v>83</v>
      </c>
      <c r="C13" s="28"/>
      <c r="D13" s="28"/>
      <c r="E13" s="29"/>
      <c r="F13" s="30"/>
      <c r="G13" s="31"/>
    </row>
    <row r="14" spans="2:7" x14ac:dyDescent="0.25">
      <c r="B14" s="10" t="s">
        <v>84</v>
      </c>
      <c r="C14" s="11" t="s">
        <v>85</v>
      </c>
      <c r="D14" s="11" t="s">
        <v>86</v>
      </c>
      <c r="E14" s="12">
        <v>1.1499999999999999</v>
      </c>
      <c r="F14" s="16">
        <v>4.3</v>
      </c>
      <c r="G14" s="14">
        <v>4.95</v>
      </c>
    </row>
    <row r="15" spans="2:7" x14ac:dyDescent="0.25">
      <c r="B15" s="10" t="s">
        <v>87</v>
      </c>
      <c r="C15" s="11" t="s">
        <v>88</v>
      </c>
      <c r="D15" s="11" t="s">
        <v>86</v>
      </c>
      <c r="E15" s="12">
        <v>3.46</v>
      </c>
      <c r="F15" s="16">
        <v>3.48</v>
      </c>
      <c r="G15" s="14">
        <v>12.04</v>
      </c>
    </row>
    <row r="16" spans="2:7" x14ac:dyDescent="0.25">
      <c r="B16" s="10" t="s">
        <v>89</v>
      </c>
      <c r="C16" s="11" t="s">
        <v>90</v>
      </c>
      <c r="D16" s="11" t="s">
        <v>86</v>
      </c>
      <c r="E16" s="12">
        <v>3.36</v>
      </c>
      <c r="F16" s="16">
        <v>2.88</v>
      </c>
      <c r="G16" s="14">
        <v>9.68</v>
      </c>
    </row>
    <row r="17" spans="2:7" x14ac:dyDescent="0.25">
      <c r="B17" s="10" t="s">
        <v>29</v>
      </c>
      <c r="C17" s="11" t="s">
        <v>91</v>
      </c>
      <c r="D17" s="11" t="s">
        <v>86</v>
      </c>
      <c r="E17" s="12">
        <v>0.49</v>
      </c>
      <c r="F17" s="16">
        <v>4.3</v>
      </c>
      <c r="G17" s="14">
        <v>2.11</v>
      </c>
    </row>
    <row r="18" spans="2:7" s="26" customFormat="1" ht="18" customHeight="1" x14ac:dyDescent="0.25">
      <c r="B18" s="27" t="s">
        <v>92</v>
      </c>
      <c r="C18" s="28"/>
      <c r="D18" s="28"/>
      <c r="E18" s="29"/>
      <c r="F18" s="30"/>
      <c r="G18" s="31"/>
    </row>
    <row r="19" spans="2:7" x14ac:dyDescent="0.25">
      <c r="B19" s="10" t="s">
        <v>10</v>
      </c>
      <c r="C19" s="11" t="s">
        <v>93</v>
      </c>
      <c r="D19" s="11" t="s">
        <v>11</v>
      </c>
      <c r="E19" s="12">
        <v>0.6</v>
      </c>
      <c r="F19" s="13">
        <v>1.42</v>
      </c>
      <c r="G19" s="14">
        <v>0.85</v>
      </c>
    </row>
    <row r="20" spans="2:7" x14ac:dyDescent="0.25">
      <c r="B20" s="10" t="s">
        <v>53</v>
      </c>
      <c r="C20" s="11" t="s">
        <v>94</v>
      </c>
      <c r="D20" s="11" t="s">
        <v>11</v>
      </c>
      <c r="E20" s="12">
        <v>0.36</v>
      </c>
      <c r="F20" s="13">
        <v>1.42</v>
      </c>
      <c r="G20" s="14">
        <v>0.51</v>
      </c>
    </row>
    <row r="21" spans="2:7" x14ac:dyDescent="0.25">
      <c r="B21" s="10" t="s">
        <v>95</v>
      </c>
      <c r="C21" s="11" t="s">
        <v>96</v>
      </c>
      <c r="D21" s="11" t="s">
        <v>97</v>
      </c>
      <c r="E21" s="12">
        <v>2.91</v>
      </c>
      <c r="F21" s="13">
        <v>1.99</v>
      </c>
      <c r="G21" s="14">
        <v>5.79</v>
      </c>
    </row>
    <row r="22" spans="2:7" x14ac:dyDescent="0.25">
      <c r="B22" s="10" t="s">
        <v>98</v>
      </c>
      <c r="C22" s="11" t="s">
        <v>99</v>
      </c>
      <c r="D22" s="11" t="s">
        <v>97</v>
      </c>
      <c r="E22" s="12">
        <v>0.33</v>
      </c>
      <c r="F22" s="13">
        <v>1.41</v>
      </c>
      <c r="G22" s="14">
        <v>0.47</v>
      </c>
    </row>
    <row r="23" spans="2:7" x14ac:dyDescent="0.25">
      <c r="B23" s="10" t="s">
        <v>100</v>
      </c>
      <c r="C23" s="11" t="s">
        <v>101</v>
      </c>
      <c r="D23" s="11" t="s">
        <v>102</v>
      </c>
      <c r="E23" s="12">
        <v>1.25</v>
      </c>
      <c r="F23" s="13">
        <v>1.41</v>
      </c>
      <c r="G23" s="14">
        <v>1.76</v>
      </c>
    </row>
    <row r="24" spans="2:7" x14ac:dyDescent="0.25">
      <c r="B24" s="10" t="s">
        <v>103</v>
      </c>
      <c r="C24" s="11" t="s">
        <v>104</v>
      </c>
      <c r="D24" s="11" t="s">
        <v>12</v>
      </c>
      <c r="E24" s="12">
        <v>13.73</v>
      </c>
      <c r="F24" s="13">
        <v>1.1299999999999999</v>
      </c>
      <c r="G24" s="14">
        <v>15.51</v>
      </c>
    </row>
    <row r="25" spans="2:7" x14ac:dyDescent="0.25">
      <c r="B25" s="10" t="s">
        <v>105</v>
      </c>
      <c r="C25" s="11" t="s">
        <v>106</v>
      </c>
      <c r="D25" s="11" t="s">
        <v>86</v>
      </c>
      <c r="E25" s="12">
        <v>3.45</v>
      </c>
      <c r="F25" s="13">
        <v>0.71</v>
      </c>
      <c r="G25" s="14">
        <v>2.4500000000000002</v>
      </c>
    </row>
    <row r="26" spans="2:7" x14ac:dyDescent="0.25">
      <c r="B26" s="10" t="s">
        <v>107</v>
      </c>
      <c r="C26" s="11" t="s">
        <v>108</v>
      </c>
      <c r="D26" s="11" t="s">
        <v>86</v>
      </c>
      <c r="E26" s="12">
        <v>0.97</v>
      </c>
      <c r="F26" s="13">
        <v>1.77</v>
      </c>
      <c r="G26" s="14">
        <v>1.72</v>
      </c>
    </row>
    <row r="27" spans="2:7" x14ac:dyDescent="0.25">
      <c r="B27" s="10" t="s">
        <v>109</v>
      </c>
      <c r="C27" s="11" t="s">
        <v>110</v>
      </c>
      <c r="D27" s="11" t="s">
        <v>86</v>
      </c>
      <c r="E27" s="12">
        <v>0.59</v>
      </c>
      <c r="F27" s="13">
        <v>1.77</v>
      </c>
      <c r="G27" s="14">
        <v>1.04</v>
      </c>
    </row>
    <row r="28" spans="2:7" x14ac:dyDescent="0.25">
      <c r="B28" s="10" t="s">
        <v>111</v>
      </c>
      <c r="C28" s="11" t="s">
        <v>112</v>
      </c>
      <c r="D28" s="11" t="s">
        <v>86</v>
      </c>
      <c r="E28" s="12">
        <v>3.28</v>
      </c>
      <c r="F28" s="13">
        <v>1.77</v>
      </c>
      <c r="G28" s="14">
        <v>5.81</v>
      </c>
    </row>
    <row r="29" spans="2:7" x14ac:dyDescent="0.25">
      <c r="B29" s="10" t="s">
        <v>113</v>
      </c>
      <c r="C29" s="11" t="s">
        <v>114</v>
      </c>
      <c r="D29" s="11" t="s">
        <v>86</v>
      </c>
      <c r="E29" s="12">
        <v>3.53</v>
      </c>
      <c r="F29" s="13">
        <v>1.77</v>
      </c>
      <c r="G29" s="14">
        <v>6.25</v>
      </c>
    </row>
    <row r="30" spans="2:7" x14ac:dyDescent="0.25">
      <c r="B30" s="10" t="s">
        <v>115</v>
      </c>
      <c r="C30" s="11" t="s">
        <v>116</v>
      </c>
      <c r="D30" s="11" t="s">
        <v>86</v>
      </c>
      <c r="E30" s="12">
        <v>1.52</v>
      </c>
      <c r="F30" s="13">
        <v>1.77</v>
      </c>
      <c r="G30" s="14">
        <v>2.69</v>
      </c>
    </row>
    <row r="31" spans="2:7" x14ac:dyDescent="0.25">
      <c r="B31" s="10" t="s">
        <v>30</v>
      </c>
      <c r="C31" s="11" t="s">
        <v>117</v>
      </c>
      <c r="D31" s="11" t="s">
        <v>118</v>
      </c>
      <c r="E31" s="12">
        <v>1.52</v>
      </c>
      <c r="F31" s="13">
        <v>2.44</v>
      </c>
      <c r="G31" s="14">
        <v>3.71</v>
      </c>
    </row>
    <row r="32" spans="2:7" x14ac:dyDescent="0.25">
      <c r="B32" s="10" t="s">
        <v>119</v>
      </c>
      <c r="C32" s="11" t="s">
        <v>120</v>
      </c>
      <c r="D32" s="11" t="s">
        <v>86</v>
      </c>
      <c r="E32" s="12">
        <v>1.55</v>
      </c>
      <c r="F32" s="13">
        <v>1.22</v>
      </c>
      <c r="G32" s="14">
        <v>1.89</v>
      </c>
    </row>
    <row r="33" spans="2:7" x14ac:dyDescent="0.25">
      <c r="B33" s="10" t="s">
        <v>121</v>
      </c>
      <c r="C33" s="11" t="s">
        <v>122</v>
      </c>
      <c r="D33" s="11" t="s">
        <v>86</v>
      </c>
      <c r="E33" s="12">
        <v>3.12</v>
      </c>
      <c r="F33" s="13">
        <v>2.44</v>
      </c>
      <c r="G33" s="14">
        <v>7.61</v>
      </c>
    </row>
    <row r="34" spans="2:7" x14ac:dyDescent="0.25">
      <c r="B34" s="10" t="s">
        <v>54</v>
      </c>
      <c r="C34" s="11" t="s">
        <v>123</v>
      </c>
      <c r="D34" s="11" t="s">
        <v>86</v>
      </c>
      <c r="E34" s="12">
        <v>5.13</v>
      </c>
      <c r="F34" s="13">
        <v>2.44</v>
      </c>
      <c r="G34" s="14">
        <v>12.52</v>
      </c>
    </row>
    <row r="35" spans="2:7" x14ac:dyDescent="0.25">
      <c r="B35" s="10" t="s">
        <v>124</v>
      </c>
      <c r="C35" s="11" t="s">
        <v>125</v>
      </c>
      <c r="D35" s="11" t="s">
        <v>86</v>
      </c>
      <c r="E35" s="12">
        <v>2.3199999999999998</v>
      </c>
      <c r="F35" s="13">
        <v>2.44</v>
      </c>
      <c r="G35" s="14">
        <v>5.66</v>
      </c>
    </row>
    <row r="36" spans="2:7" x14ac:dyDescent="0.25">
      <c r="B36" s="10" t="s">
        <v>13</v>
      </c>
      <c r="C36" s="11" t="s">
        <v>126</v>
      </c>
      <c r="D36" s="11" t="s">
        <v>86</v>
      </c>
      <c r="E36" s="12">
        <v>1.23</v>
      </c>
      <c r="F36" s="13">
        <v>1.22</v>
      </c>
      <c r="G36" s="14">
        <v>1.5</v>
      </c>
    </row>
    <row r="37" spans="2:7" x14ac:dyDescent="0.25">
      <c r="B37" s="10" t="s">
        <v>127</v>
      </c>
      <c r="C37" s="11" t="s">
        <v>128</v>
      </c>
      <c r="D37" s="11" t="s">
        <v>86</v>
      </c>
      <c r="E37" s="12">
        <v>5.21</v>
      </c>
      <c r="F37" s="13">
        <v>1.22</v>
      </c>
      <c r="G37" s="14">
        <v>6.36</v>
      </c>
    </row>
    <row r="38" spans="2:7" x14ac:dyDescent="0.25">
      <c r="B38" s="10" t="s">
        <v>129</v>
      </c>
      <c r="C38" s="11" t="s">
        <v>130</v>
      </c>
      <c r="D38" s="11" t="s">
        <v>86</v>
      </c>
      <c r="E38" s="12">
        <v>2.4</v>
      </c>
      <c r="F38" s="13">
        <v>1.08</v>
      </c>
      <c r="G38" s="14">
        <v>2.59</v>
      </c>
    </row>
    <row r="39" spans="2:7" x14ac:dyDescent="0.25">
      <c r="B39" s="10" t="s">
        <v>131</v>
      </c>
      <c r="C39" s="11" t="s">
        <v>132</v>
      </c>
      <c r="D39" s="11" t="s">
        <v>55</v>
      </c>
      <c r="E39" s="12">
        <v>2.5299999999999998</v>
      </c>
      <c r="F39" s="13">
        <v>0.41</v>
      </c>
      <c r="G39" s="14">
        <v>1.04</v>
      </c>
    </row>
    <row r="40" spans="2:7" x14ac:dyDescent="0.25">
      <c r="B40" s="10" t="s">
        <v>14</v>
      </c>
      <c r="C40" s="11" t="s">
        <v>133</v>
      </c>
      <c r="D40" s="11" t="s">
        <v>86</v>
      </c>
      <c r="E40" s="12">
        <v>2.93</v>
      </c>
      <c r="F40" s="13">
        <v>2.44</v>
      </c>
      <c r="G40" s="14">
        <v>7.15</v>
      </c>
    </row>
    <row r="41" spans="2:7" x14ac:dyDescent="0.25">
      <c r="B41" s="10" t="s">
        <v>134</v>
      </c>
      <c r="C41" s="11" t="s">
        <v>135</v>
      </c>
      <c r="D41" s="11" t="s">
        <v>86</v>
      </c>
      <c r="E41" s="12">
        <v>1.21</v>
      </c>
      <c r="F41" s="13">
        <v>2.44</v>
      </c>
      <c r="G41" s="14">
        <v>2.95</v>
      </c>
    </row>
    <row r="42" spans="2:7" x14ac:dyDescent="0.25">
      <c r="B42" s="10" t="s">
        <v>15</v>
      </c>
      <c r="C42" s="11" t="s">
        <v>136</v>
      </c>
      <c r="D42" s="11" t="s">
        <v>86</v>
      </c>
      <c r="E42" s="12">
        <v>0.65</v>
      </c>
      <c r="F42" s="13">
        <v>2.44</v>
      </c>
      <c r="G42" s="14">
        <v>1.59</v>
      </c>
    </row>
    <row r="43" spans="2:7" x14ac:dyDescent="0.25">
      <c r="B43" s="10" t="s">
        <v>31</v>
      </c>
      <c r="C43" s="11" t="s">
        <v>137</v>
      </c>
      <c r="D43" s="11" t="s">
        <v>86</v>
      </c>
      <c r="E43" s="12">
        <v>1.1499999999999999</v>
      </c>
      <c r="F43" s="13">
        <v>2.44</v>
      </c>
      <c r="G43" s="14">
        <v>2.81</v>
      </c>
    </row>
    <row r="44" spans="2:7" x14ac:dyDescent="0.25">
      <c r="B44" s="10" t="s">
        <v>138</v>
      </c>
      <c r="C44" s="11" t="s">
        <v>139</v>
      </c>
      <c r="D44" s="11" t="s">
        <v>86</v>
      </c>
      <c r="E44" s="12">
        <v>2.4900000000000002</v>
      </c>
      <c r="F44" s="13">
        <v>2.44</v>
      </c>
      <c r="G44" s="14">
        <v>6.08</v>
      </c>
    </row>
    <row r="45" spans="2:7" x14ac:dyDescent="0.25">
      <c r="B45" s="10" t="s">
        <v>140</v>
      </c>
      <c r="C45" s="11" t="s">
        <v>141</v>
      </c>
      <c r="D45" s="11" t="s">
        <v>86</v>
      </c>
      <c r="E45" s="12">
        <v>1.94</v>
      </c>
      <c r="F45" s="13">
        <v>2.44</v>
      </c>
      <c r="G45" s="14">
        <v>4.7300000000000004</v>
      </c>
    </row>
    <row r="46" spans="2:7" x14ac:dyDescent="0.25">
      <c r="B46" s="10" t="s">
        <v>142</v>
      </c>
      <c r="C46" s="11" t="s">
        <v>143</v>
      </c>
      <c r="D46" s="11" t="s">
        <v>86</v>
      </c>
      <c r="E46" s="12">
        <v>1.57</v>
      </c>
      <c r="F46" s="13">
        <v>2.44</v>
      </c>
      <c r="G46" s="14">
        <v>3.83</v>
      </c>
    </row>
    <row r="47" spans="2:7" x14ac:dyDescent="0.25">
      <c r="B47" s="10" t="s">
        <v>144</v>
      </c>
      <c r="C47" s="11" t="s">
        <v>145</v>
      </c>
      <c r="D47" s="11" t="s">
        <v>86</v>
      </c>
      <c r="E47" s="12">
        <v>1.37</v>
      </c>
      <c r="F47" s="13">
        <v>2.44</v>
      </c>
      <c r="G47" s="14">
        <v>3.34</v>
      </c>
    </row>
    <row r="48" spans="2:7" x14ac:dyDescent="0.25">
      <c r="B48" s="10" t="s">
        <v>146</v>
      </c>
      <c r="C48" s="11" t="s">
        <v>147</v>
      </c>
      <c r="D48" s="11" t="s">
        <v>86</v>
      </c>
      <c r="E48" s="12">
        <v>4.3499999999999996</v>
      </c>
      <c r="F48" s="13">
        <v>2.44</v>
      </c>
      <c r="G48" s="14">
        <v>10.61</v>
      </c>
    </row>
    <row r="49" spans="2:7" x14ac:dyDescent="0.25">
      <c r="B49" s="10" t="s">
        <v>148</v>
      </c>
      <c r="C49" s="11" t="s">
        <v>149</v>
      </c>
      <c r="D49" s="11" t="s">
        <v>86</v>
      </c>
      <c r="E49" s="12">
        <v>3.23</v>
      </c>
      <c r="F49" s="13">
        <v>0.66</v>
      </c>
      <c r="G49" s="14">
        <v>2.13</v>
      </c>
    </row>
    <row r="50" spans="2:7" x14ac:dyDescent="0.25">
      <c r="B50" s="10" t="s">
        <v>150</v>
      </c>
      <c r="C50" s="11" t="s">
        <v>151</v>
      </c>
      <c r="D50" s="11" t="s">
        <v>86</v>
      </c>
      <c r="E50" s="12">
        <v>3.91</v>
      </c>
      <c r="F50" s="13">
        <v>0.66</v>
      </c>
      <c r="G50" s="14">
        <v>2.58</v>
      </c>
    </row>
    <row r="51" spans="2:7" x14ac:dyDescent="0.25">
      <c r="B51" s="10" t="s">
        <v>16</v>
      </c>
      <c r="C51" s="11" t="s">
        <v>152</v>
      </c>
      <c r="D51" s="11" t="s">
        <v>86</v>
      </c>
      <c r="E51" s="12">
        <v>0.08</v>
      </c>
      <c r="F51" s="13">
        <v>2.44</v>
      </c>
      <c r="G51" s="14">
        <v>0.2</v>
      </c>
    </row>
    <row r="52" spans="2:7" x14ac:dyDescent="0.25">
      <c r="B52" s="10" t="s">
        <v>153</v>
      </c>
      <c r="C52" s="11" t="s">
        <v>154</v>
      </c>
      <c r="D52" s="11" t="s">
        <v>86</v>
      </c>
      <c r="E52" s="12">
        <v>3.28</v>
      </c>
      <c r="F52" s="13">
        <v>0.9</v>
      </c>
      <c r="G52" s="14">
        <v>2.95</v>
      </c>
    </row>
    <row r="53" spans="2:7" x14ac:dyDescent="0.25">
      <c r="B53" s="10" t="s">
        <v>155</v>
      </c>
      <c r="C53" s="11" t="s">
        <v>156</v>
      </c>
      <c r="D53" s="11" t="s">
        <v>157</v>
      </c>
      <c r="E53" s="12">
        <v>7.33</v>
      </c>
      <c r="F53" s="13">
        <v>0.9</v>
      </c>
      <c r="G53" s="14">
        <v>6.6</v>
      </c>
    </row>
    <row r="54" spans="2:7" x14ac:dyDescent="0.25">
      <c r="B54" s="10" t="s">
        <v>17</v>
      </c>
      <c r="C54" s="11" t="s">
        <v>158</v>
      </c>
      <c r="D54" s="11" t="s">
        <v>86</v>
      </c>
      <c r="E54" s="12">
        <v>2.2599999999999998</v>
      </c>
      <c r="F54" s="13">
        <v>1.28</v>
      </c>
      <c r="G54" s="14">
        <v>2.89</v>
      </c>
    </row>
    <row r="55" spans="2:7" x14ac:dyDescent="0.25">
      <c r="B55" s="10" t="s">
        <v>159</v>
      </c>
      <c r="C55" s="11" t="s">
        <v>160</v>
      </c>
      <c r="D55" s="11" t="s">
        <v>86</v>
      </c>
      <c r="E55" s="12">
        <v>3.03</v>
      </c>
      <c r="F55" s="13">
        <v>1.33</v>
      </c>
      <c r="G55" s="14">
        <v>4.03</v>
      </c>
    </row>
    <row r="56" spans="2:7" x14ac:dyDescent="0.25">
      <c r="B56" s="10" t="s">
        <v>161</v>
      </c>
      <c r="C56" s="11" t="s">
        <v>162</v>
      </c>
      <c r="D56" s="11" t="s">
        <v>86</v>
      </c>
      <c r="E56" s="12">
        <v>8.82</v>
      </c>
      <c r="F56" s="13">
        <v>1.21</v>
      </c>
      <c r="G56" s="14">
        <v>10.67</v>
      </c>
    </row>
    <row r="57" spans="2:7" x14ac:dyDescent="0.25">
      <c r="B57" s="10" t="s">
        <v>163</v>
      </c>
      <c r="C57" s="11" t="s">
        <v>164</v>
      </c>
      <c r="D57" s="11" t="s">
        <v>86</v>
      </c>
      <c r="E57" s="12">
        <v>7.56</v>
      </c>
      <c r="F57" s="13">
        <v>0.41</v>
      </c>
      <c r="G57" s="14">
        <v>3.1</v>
      </c>
    </row>
    <row r="58" spans="2:7" x14ac:dyDescent="0.25">
      <c r="B58" s="10" t="s">
        <v>165</v>
      </c>
      <c r="C58" s="17" t="s">
        <v>166</v>
      </c>
      <c r="D58" s="11" t="s">
        <v>86</v>
      </c>
      <c r="E58" s="12">
        <v>0.77</v>
      </c>
      <c r="F58" s="13">
        <v>0.98</v>
      </c>
      <c r="G58" s="14">
        <v>0.75</v>
      </c>
    </row>
    <row r="59" spans="2:7" x14ac:dyDescent="0.25">
      <c r="B59" s="10" t="s">
        <v>167</v>
      </c>
      <c r="C59" s="17" t="s">
        <v>168</v>
      </c>
      <c r="D59" s="11" t="s">
        <v>169</v>
      </c>
      <c r="E59" s="12">
        <v>2.5299999999999998</v>
      </c>
      <c r="F59" s="13">
        <v>0.69</v>
      </c>
      <c r="G59" s="14">
        <v>1.75</v>
      </c>
    </row>
    <row r="60" spans="2:7" s="26" customFormat="1" ht="18" customHeight="1" x14ac:dyDescent="0.25">
      <c r="B60" s="27" t="s">
        <v>170</v>
      </c>
      <c r="C60" s="28"/>
      <c r="D60" s="28"/>
      <c r="E60" s="29"/>
      <c r="F60" s="30"/>
      <c r="G60" s="31"/>
    </row>
    <row r="61" spans="2:7" x14ac:dyDescent="0.25">
      <c r="B61" s="10" t="s">
        <v>18</v>
      </c>
      <c r="C61" s="11" t="s">
        <v>171</v>
      </c>
      <c r="D61" s="11" t="s">
        <v>86</v>
      </c>
      <c r="E61" s="12">
        <v>0.63</v>
      </c>
      <c r="F61" s="16">
        <v>4.3</v>
      </c>
      <c r="G61" s="14">
        <v>2.71</v>
      </c>
    </row>
    <row r="62" spans="2:7" x14ac:dyDescent="0.25">
      <c r="B62" s="10" t="s">
        <v>19</v>
      </c>
      <c r="C62" s="11" t="s">
        <v>172</v>
      </c>
      <c r="D62" s="11" t="s">
        <v>86</v>
      </c>
      <c r="E62" s="12">
        <v>0.67</v>
      </c>
      <c r="F62" s="16">
        <v>4.3</v>
      </c>
      <c r="G62" s="14">
        <v>2.88</v>
      </c>
    </row>
    <row r="63" spans="2:7" x14ac:dyDescent="0.25">
      <c r="B63" s="10" t="s">
        <v>173</v>
      </c>
      <c r="C63" s="11" t="s">
        <v>174</v>
      </c>
      <c r="D63" s="11" t="s">
        <v>86</v>
      </c>
      <c r="E63" s="12">
        <v>0.19</v>
      </c>
      <c r="F63" s="16">
        <v>4.3</v>
      </c>
      <c r="G63" s="14">
        <v>0.82</v>
      </c>
    </row>
    <row r="64" spans="2:7" x14ac:dyDescent="0.25">
      <c r="B64" s="10" t="s">
        <v>175</v>
      </c>
      <c r="C64" s="11" t="s">
        <v>176</v>
      </c>
      <c r="D64" s="11" t="s">
        <v>86</v>
      </c>
      <c r="E64" s="12">
        <v>0.17</v>
      </c>
      <c r="F64" s="16">
        <v>2.17</v>
      </c>
      <c r="G64" s="14">
        <v>0.37</v>
      </c>
    </row>
    <row r="65" spans="2:7" x14ac:dyDescent="0.25">
      <c r="B65" s="10" t="s">
        <v>177</v>
      </c>
      <c r="C65" s="11" t="s">
        <v>178</v>
      </c>
      <c r="D65" s="11" t="s">
        <v>86</v>
      </c>
      <c r="E65" s="12">
        <v>1.37</v>
      </c>
      <c r="F65" s="13">
        <v>4.3</v>
      </c>
      <c r="G65" s="14">
        <v>5.89</v>
      </c>
    </row>
    <row r="66" spans="2:7" x14ac:dyDescent="0.25">
      <c r="B66" s="10" t="s">
        <v>179</v>
      </c>
      <c r="C66" s="11" t="s">
        <v>180</v>
      </c>
      <c r="D66" s="11" t="s">
        <v>86</v>
      </c>
      <c r="E66" s="12">
        <v>0.09</v>
      </c>
      <c r="F66" s="13">
        <v>4.3</v>
      </c>
      <c r="G66" s="14">
        <v>0.39</v>
      </c>
    </row>
    <row r="67" spans="2:7" s="26" customFormat="1" ht="18" customHeight="1" x14ac:dyDescent="0.25">
      <c r="B67" s="27" t="s">
        <v>181</v>
      </c>
      <c r="C67" s="28"/>
      <c r="D67" s="28"/>
      <c r="E67" s="29"/>
      <c r="F67" s="30"/>
      <c r="G67" s="31"/>
    </row>
    <row r="68" spans="2:7" x14ac:dyDescent="0.25">
      <c r="B68" s="10" t="s">
        <v>32</v>
      </c>
      <c r="C68" s="11" t="s">
        <v>182</v>
      </c>
      <c r="D68" s="11" t="s">
        <v>24</v>
      </c>
      <c r="E68" s="12">
        <v>0.26</v>
      </c>
      <c r="F68" s="13">
        <v>1.41</v>
      </c>
      <c r="G68" s="14">
        <v>0.37</v>
      </c>
    </row>
    <row r="69" spans="2:7" x14ac:dyDescent="0.25">
      <c r="B69" s="10" t="s">
        <v>183</v>
      </c>
      <c r="C69" s="11" t="s">
        <v>184</v>
      </c>
      <c r="D69" s="11" t="s">
        <v>24</v>
      </c>
      <c r="E69" s="12">
        <v>0.17</v>
      </c>
      <c r="F69" s="13">
        <v>1.41</v>
      </c>
      <c r="G69" s="14">
        <v>0.24</v>
      </c>
    </row>
    <row r="70" spans="2:7" x14ac:dyDescent="0.25">
      <c r="B70" s="10" t="s">
        <v>185</v>
      </c>
      <c r="C70" s="11" t="s">
        <v>186</v>
      </c>
      <c r="D70" s="11" t="s">
        <v>24</v>
      </c>
      <c r="E70" s="12">
        <v>0.14000000000000001</v>
      </c>
      <c r="F70" s="13">
        <v>1.41</v>
      </c>
      <c r="G70" s="14">
        <v>0.2</v>
      </c>
    </row>
    <row r="71" spans="2:7" x14ac:dyDescent="0.25">
      <c r="B71" s="10" t="s">
        <v>187</v>
      </c>
      <c r="C71" s="11" t="s">
        <v>188</v>
      </c>
      <c r="D71" s="11" t="s">
        <v>24</v>
      </c>
      <c r="E71" s="12">
        <v>0.11</v>
      </c>
      <c r="F71" s="13">
        <v>1.44</v>
      </c>
      <c r="G71" s="14">
        <v>0.16</v>
      </c>
    </row>
    <row r="72" spans="2:7" x14ac:dyDescent="0.25">
      <c r="B72" s="10" t="s">
        <v>189</v>
      </c>
      <c r="C72" s="11" t="s">
        <v>190</v>
      </c>
      <c r="D72" s="11" t="s">
        <v>24</v>
      </c>
      <c r="E72" s="12">
        <v>0.15</v>
      </c>
      <c r="F72" s="13">
        <v>1.71</v>
      </c>
      <c r="G72" s="14">
        <v>0.26</v>
      </c>
    </row>
    <row r="73" spans="2:7" x14ac:dyDescent="0.25">
      <c r="B73" s="10" t="s">
        <v>33</v>
      </c>
      <c r="C73" s="11" t="s">
        <v>191</v>
      </c>
      <c r="D73" s="11" t="s">
        <v>86</v>
      </c>
      <c r="E73" s="12">
        <v>0.49</v>
      </c>
      <c r="F73" s="13">
        <v>0.85</v>
      </c>
      <c r="G73" s="14">
        <v>0.42</v>
      </c>
    </row>
    <row r="74" spans="2:7" x14ac:dyDescent="0.25">
      <c r="B74" s="18" t="s">
        <v>23</v>
      </c>
      <c r="C74" s="19" t="s">
        <v>192</v>
      </c>
      <c r="D74" s="19" t="s">
        <v>24</v>
      </c>
      <c r="E74" s="20">
        <v>0.2</v>
      </c>
      <c r="F74" s="21">
        <v>0.56000000000000005</v>
      </c>
      <c r="G74" s="22">
        <v>0.11</v>
      </c>
    </row>
    <row r="75" spans="2:7" x14ac:dyDescent="0.25">
      <c r="E75" s="12"/>
    </row>
  </sheetData>
  <sheetProtection algorithmName="SHA-512" hashValue="dO8EvM2cVSyf55k92aFkErQfbI1y4W1Z8HdYU9B8ZEAIobtZUOeiV7RsHOq0BgiDcfLbySxnVJpOAaGeP33YwA==" saltValue="OjMwMD1s9TxbrQcc+tui0Q==" spinCount="100000" sheet="1" objects="1" scenarios="1" selectLockedCells="1"/>
  <pageMargins left="0.7" right="0.7" top="0.75" bottom="0.75" header="0.3" footer="0.3"/>
  <pageSetup paperSize="4" scale="7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BBB14-89E1-42B6-989E-B01A81234D07}">
  <sheetPr codeName="Sheet1"/>
  <dimension ref="A1"/>
  <sheetViews>
    <sheetView showGridLines="0" zoomScaleNormal="100" workbookViewId="0">
      <selection activeCell="N11" sqref="N11"/>
    </sheetView>
  </sheetViews>
  <sheetFormatPr defaultRowHeight="15" x14ac:dyDescent="0.25"/>
  <sheetData/>
  <sheetProtection algorithmName="SHA-512" hashValue="AYW2yL1C8UNTD66q9p0mlqyfhby2ce+voKPTu0zrGxcW50SGxxK6bG4Yvcjppgz+djTzIqv+JAE1dzqIkC2/Yg==" saltValue="o/eqyAAR7gEumOS7+Cyz2g=="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1"/>
  <sheetViews>
    <sheetView topLeftCell="F1" workbookViewId="0">
      <selection activeCell="O3" sqref="O3"/>
    </sheetView>
  </sheetViews>
  <sheetFormatPr defaultRowHeight="15" x14ac:dyDescent="0.25"/>
  <cols>
    <col min="1" max="1" width="24.28515625" bestFit="1" customWidth="1"/>
    <col min="3" max="3" width="16.28515625" customWidth="1"/>
    <col min="4" max="4" width="39.5703125" style="2" bestFit="1" customWidth="1"/>
    <col min="5" max="5" width="28.140625" style="2" bestFit="1" customWidth="1"/>
    <col min="6" max="6" width="43.42578125" style="2" bestFit="1" customWidth="1"/>
    <col min="7" max="7" width="33.5703125" style="2" bestFit="1" customWidth="1"/>
    <col min="8" max="8" width="22.140625" style="2" bestFit="1" customWidth="1"/>
    <col min="10" max="10" width="29.28515625" customWidth="1"/>
    <col min="13" max="16" width="12.85546875" customWidth="1"/>
  </cols>
  <sheetData>
    <row r="1" spans="1:20" s="43" customFormat="1" ht="22.5" customHeight="1" x14ac:dyDescent="0.25">
      <c r="A1" s="41" t="s">
        <v>58</v>
      </c>
      <c r="C1" s="41" t="s">
        <v>196</v>
      </c>
      <c r="D1" s="41" t="s">
        <v>8</v>
      </c>
      <c r="E1" s="41" t="s">
        <v>9</v>
      </c>
      <c r="F1" s="41" t="s">
        <v>195</v>
      </c>
      <c r="G1" s="41" t="s">
        <v>21</v>
      </c>
      <c r="H1" s="41" t="s">
        <v>22</v>
      </c>
      <c r="J1" s="220" t="s">
        <v>226</v>
      </c>
      <c r="K1" s="220" t="s">
        <v>224</v>
      </c>
      <c r="L1" s="222" t="s">
        <v>225</v>
      </c>
      <c r="M1" s="219" t="s">
        <v>198</v>
      </c>
      <c r="N1" s="219"/>
      <c r="O1" s="219" t="s">
        <v>199</v>
      </c>
      <c r="P1" s="219"/>
      <c r="R1" s="218" t="s">
        <v>35</v>
      </c>
      <c r="S1" s="218" t="s">
        <v>236</v>
      </c>
      <c r="T1" s="60"/>
    </row>
    <row r="2" spans="1:20" x14ac:dyDescent="0.25">
      <c r="A2" s="48" t="s">
        <v>213</v>
      </c>
      <c r="C2" s="2" t="s">
        <v>8</v>
      </c>
      <c r="D2" s="2" t="s">
        <v>66</v>
      </c>
      <c r="E2" s="2" t="s">
        <v>84</v>
      </c>
      <c r="F2" s="2" t="s">
        <v>10</v>
      </c>
      <c r="G2" s="2" t="s">
        <v>18</v>
      </c>
      <c r="H2" s="2" t="s">
        <v>32</v>
      </c>
      <c r="J2" s="221"/>
      <c r="K2" s="221"/>
      <c r="L2" s="223"/>
      <c r="M2" s="163" t="s">
        <v>56</v>
      </c>
      <c r="N2" s="163" t="s">
        <v>57</v>
      </c>
      <c r="O2" s="163" t="s">
        <v>56</v>
      </c>
      <c r="P2" s="163" t="s">
        <v>57</v>
      </c>
      <c r="R2" s="218"/>
      <c r="S2" s="218"/>
      <c r="T2" s="60"/>
    </row>
    <row r="3" spans="1:20" x14ac:dyDescent="0.25">
      <c r="A3" s="48" t="s">
        <v>212</v>
      </c>
      <c r="C3" s="2" t="s">
        <v>9</v>
      </c>
      <c r="D3" s="2" t="s">
        <v>69</v>
      </c>
      <c r="E3" s="2" t="s">
        <v>87</v>
      </c>
      <c r="F3" s="2" t="s">
        <v>53</v>
      </c>
      <c r="G3" s="2" t="s">
        <v>19</v>
      </c>
      <c r="H3" s="2" t="s">
        <v>183</v>
      </c>
      <c r="J3" s="52" t="s">
        <v>207</v>
      </c>
      <c r="K3" s="53">
        <f>DATE(2021,6,1)</f>
        <v>44348</v>
      </c>
      <c r="L3" s="165">
        <f>DATE(2022,5,31)</f>
        <v>44712</v>
      </c>
      <c r="M3" s="54">
        <v>200</v>
      </c>
      <c r="N3" s="54">
        <v>400</v>
      </c>
      <c r="O3" s="54">
        <f>0.2*$O$7</f>
        <v>360.8</v>
      </c>
      <c r="P3" s="54">
        <f>0.2*$P$7</f>
        <v>714.80000000000007</v>
      </c>
      <c r="R3" s="61" t="s">
        <v>203</v>
      </c>
      <c r="S3" s="61">
        <v>1</v>
      </c>
      <c r="T3" s="60"/>
    </row>
    <row r="4" spans="1:20" x14ac:dyDescent="0.25">
      <c r="A4" s="48">
        <v>1</v>
      </c>
      <c r="C4" s="44" t="s">
        <v>195</v>
      </c>
      <c r="D4" s="2" t="s">
        <v>71</v>
      </c>
      <c r="E4" s="2" t="s">
        <v>89</v>
      </c>
      <c r="F4" s="2" t="s">
        <v>95</v>
      </c>
      <c r="G4" s="2" t="s">
        <v>173</v>
      </c>
      <c r="H4" s="2" t="s">
        <v>185</v>
      </c>
      <c r="J4" s="52" t="s">
        <v>200</v>
      </c>
      <c r="K4" s="53">
        <f>DATE(2022,6,1)</f>
        <v>44713</v>
      </c>
      <c r="L4" s="165">
        <f>DATE(2023,5,31)</f>
        <v>45077</v>
      </c>
      <c r="M4" s="54">
        <v>400</v>
      </c>
      <c r="N4" s="54">
        <v>800</v>
      </c>
      <c r="O4" s="54">
        <f>0.4*$O$7</f>
        <v>721.6</v>
      </c>
      <c r="P4" s="54">
        <f>0.4*$P$7</f>
        <v>1429.6000000000001</v>
      </c>
      <c r="R4" s="61" t="s">
        <v>36</v>
      </c>
      <c r="S4" s="61">
        <v>2.67</v>
      </c>
      <c r="T4" s="60"/>
    </row>
    <row r="5" spans="1:20" x14ac:dyDescent="0.25">
      <c r="A5" s="48">
        <v>2</v>
      </c>
      <c r="C5" s="2" t="s">
        <v>21</v>
      </c>
      <c r="D5" s="2" t="s">
        <v>73</v>
      </c>
      <c r="E5" s="2" t="s">
        <v>29</v>
      </c>
      <c r="F5" s="2" t="s">
        <v>98</v>
      </c>
      <c r="G5" s="2" t="s">
        <v>175</v>
      </c>
      <c r="H5" s="2" t="s">
        <v>187</v>
      </c>
      <c r="J5" s="52" t="s">
        <v>201</v>
      </c>
      <c r="K5" s="53">
        <f>DATE(2023,6,1)</f>
        <v>45078</v>
      </c>
      <c r="L5" s="165">
        <f>DATE(2024,5,31)</f>
        <v>45443</v>
      </c>
      <c r="M5" s="54">
        <v>600</v>
      </c>
      <c r="N5" s="54">
        <v>1200</v>
      </c>
      <c r="O5" s="54">
        <f>0.6*$O$7</f>
        <v>1082.3999999999999</v>
      </c>
      <c r="P5" s="54">
        <f>0.6*$P$7</f>
        <v>2144.4</v>
      </c>
      <c r="R5" s="61" t="s">
        <v>204</v>
      </c>
      <c r="S5" s="61">
        <v>6.67</v>
      </c>
      <c r="T5" s="60"/>
    </row>
    <row r="6" spans="1:20" x14ac:dyDescent="0.25">
      <c r="A6" s="48">
        <v>3</v>
      </c>
      <c r="C6" s="42" t="s">
        <v>22</v>
      </c>
      <c r="D6" s="2" t="s">
        <v>76</v>
      </c>
      <c r="F6" s="2" t="s">
        <v>100</v>
      </c>
      <c r="G6" s="2" t="s">
        <v>177</v>
      </c>
      <c r="H6" s="2" t="s">
        <v>189</v>
      </c>
      <c r="J6" s="52" t="s">
        <v>202</v>
      </c>
      <c r="K6" s="53">
        <f>DATE(2024,6,1)</f>
        <v>45444</v>
      </c>
      <c r="L6" s="165">
        <f>DATE(2025,5,31)</f>
        <v>45808</v>
      </c>
      <c r="M6" s="54">
        <v>800</v>
      </c>
      <c r="N6" s="54">
        <v>1600</v>
      </c>
      <c r="O6" s="54">
        <f>0.8*$O$7</f>
        <v>1443.2</v>
      </c>
      <c r="P6" s="54">
        <f>0.8*$P$7</f>
        <v>2859.2000000000003</v>
      </c>
      <c r="R6" s="61" t="s">
        <v>38</v>
      </c>
      <c r="S6" s="61">
        <v>10.67</v>
      </c>
      <c r="T6" s="60"/>
    </row>
    <row r="7" spans="1:20" x14ac:dyDescent="0.25">
      <c r="A7" s="48">
        <v>4</v>
      </c>
      <c r="C7" s="2"/>
      <c r="D7" s="2" t="s">
        <v>27</v>
      </c>
      <c r="F7" s="2" t="s">
        <v>103</v>
      </c>
      <c r="G7" s="2" t="s">
        <v>179</v>
      </c>
      <c r="H7" s="2" t="s">
        <v>33</v>
      </c>
      <c r="J7" s="52" t="s">
        <v>223</v>
      </c>
      <c r="K7" s="53">
        <f>DATE(2025,6,1)</f>
        <v>45809</v>
      </c>
      <c r="L7" s="165">
        <f>DATE(2026,5,31)</f>
        <v>46173</v>
      </c>
      <c r="M7" s="54">
        <v>1000</v>
      </c>
      <c r="N7" s="54">
        <v>2000</v>
      </c>
      <c r="O7" s="54">
        <v>1804</v>
      </c>
      <c r="P7" s="54">
        <v>3574</v>
      </c>
      <c r="R7" s="61" t="s">
        <v>39</v>
      </c>
      <c r="S7" s="61">
        <v>23.33</v>
      </c>
      <c r="T7" s="60"/>
    </row>
    <row r="8" spans="1:20" x14ac:dyDescent="0.25">
      <c r="A8" s="48">
        <v>5</v>
      </c>
      <c r="C8" s="2"/>
      <c r="D8" s="2" t="s">
        <v>79</v>
      </c>
      <c r="F8" s="2" t="s">
        <v>105</v>
      </c>
      <c r="H8" s="2" t="s">
        <v>23</v>
      </c>
      <c r="R8" s="61" t="s">
        <v>40</v>
      </c>
      <c r="S8" s="61">
        <v>42</v>
      </c>
      <c r="T8" s="60"/>
    </row>
    <row r="9" spans="1:20" ht="15" customHeight="1" x14ac:dyDescent="0.25">
      <c r="A9" s="48">
        <v>6</v>
      </c>
      <c r="C9" s="2"/>
      <c r="D9" s="2" t="s">
        <v>28</v>
      </c>
      <c r="F9" s="2" t="s">
        <v>107</v>
      </c>
      <c r="R9" s="61" t="s">
        <v>41</v>
      </c>
      <c r="S9" s="61">
        <v>93.33</v>
      </c>
      <c r="T9" s="60"/>
    </row>
    <row r="10" spans="1:20" x14ac:dyDescent="0.25">
      <c r="A10" s="48">
        <v>7</v>
      </c>
      <c r="C10" s="2"/>
      <c r="F10" s="2" t="s">
        <v>109</v>
      </c>
      <c r="N10" s="58"/>
      <c r="R10" s="61" t="s">
        <v>42</v>
      </c>
      <c r="S10" s="61">
        <v>160</v>
      </c>
      <c r="T10" s="60"/>
    </row>
    <row r="11" spans="1:20" x14ac:dyDescent="0.25">
      <c r="A11" s="48">
        <v>8</v>
      </c>
      <c r="C11" s="2"/>
      <c r="F11" s="2" t="s">
        <v>111</v>
      </c>
      <c r="N11" s="58"/>
      <c r="R11" s="61" t="s">
        <v>205</v>
      </c>
      <c r="S11" s="61">
        <v>253.33</v>
      </c>
      <c r="T11" s="60"/>
    </row>
    <row r="12" spans="1:20" x14ac:dyDescent="0.25">
      <c r="A12" s="48">
        <v>9</v>
      </c>
      <c r="C12" s="2"/>
      <c r="F12" s="2" t="s">
        <v>113</v>
      </c>
      <c r="N12" s="58"/>
    </row>
    <row r="13" spans="1:20" x14ac:dyDescent="0.25">
      <c r="A13" s="48">
        <v>10</v>
      </c>
      <c r="C13" s="2"/>
      <c r="F13" s="2" t="s">
        <v>115</v>
      </c>
      <c r="N13" s="58"/>
    </row>
    <row r="14" spans="1:20" x14ac:dyDescent="0.25">
      <c r="A14" s="48">
        <v>11</v>
      </c>
      <c r="C14" s="2"/>
      <c r="F14" s="2" t="s">
        <v>30</v>
      </c>
      <c r="N14" s="58"/>
    </row>
    <row r="15" spans="1:20" x14ac:dyDescent="0.25">
      <c r="C15" s="2"/>
      <c r="F15" s="2" t="s">
        <v>119</v>
      </c>
      <c r="N15" s="58"/>
    </row>
    <row r="16" spans="1:20" x14ac:dyDescent="0.25">
      <c r="C16" s="2"/>
      <c r="F16" s="2" t="s">
        <v>121</v>
      </c>
      <c r="N16" s="58"/>
    </row>
    <row r="17" spans="3:14" x14ac:dyDescent="0.25">
      <c r="C17" s="2"/>
      <c r="F17" s="2" t="s">
        <v>54</v>
      </c>
      <c r="N17" s="58"/>
    </row>
    <row r="18" spans="3:14" x14ac:dyDescent="0.25">
      <c r="C18" s="2"/>
      <c r="F18" s="2" t="s">
        <v>124</v>
      </c>
    </row>
    <row r="19" spans="3:14" x14ac:dyDescent="0.25">
      <c r="C19" s="2"/>
      <c r="F19" s="2" t="s">
        <v>13</v>
      </c>
    </row>
    <row r="20" spans="3:14" x14ac:dyDescent="0.25">
      <c r="C20" s="2"/>
      <c r="F20" s="2" t="s">
        <v>127</v>
      </c>
    </row>
    <row r="21" spans="3:14" x14ac:dyDescent="0.25">
      <c r="C21" s="2"/>
      <c r="F21" s="2" t="s">
        <v>129</v>
      </c>
    </row>
    <row r="22" spans="3:14" x14ac:dyDescent="0.25">
      <c r="C22" s="2"/>
      <c r="F22" s="2" t="s">
        <v>131</v>
      </c>
    </row>
    <row r="23" spans="3:14" x14ac:dyDescent="0.25">
      <c r="C23" s="2"/>
      <c r="F23" s="2" t="s">
        <v>14</v>
      </c>
    </row>
    <row r="24" spans="3:14" x14ac:dyDescent="0.25">
      <c r="C24" s="2"/>
      <c r="F24" s="2" t="s">
        <v>134</v>
      </c>
    </row>
    <row r="25" spans="3:14" x14ac:dyDescent="0.25">
      <c r="C25" s="2"/>
      <c r="F25" s="2" t="s">
        <v>15</v>
      </c>
    </row>
    <row r="26" spans="3:14" x14ac:dyDescent="0.25">
      <c r="C26" s="2"/>
      <c r="F26" s="2" t="s">
        <v>31</v>
      </c>
    </row>
    <row r="27" spans="3:14" x14ac:dyDescent="0.25">
      <c r="C27" s="2"/>
      <c r="F27" s="2" t="s">
        <v>138</v>
      </c>
    </row>
    <row r="28" spans="3:14" x14ac:dyDescent="0.25">
      <c r="C28" s="2"/>
      <c r="F28" s="2" t="s">
        <v>140</v>
      </c>
    </row>
    <row r="29" spans="3:14" x14ac:dyDescent="0.25">
      <c r="C29" s="2"/>
      <c r="F29" s="2" t="s">
        <v>142</v>
      </c>
    </row>
    <row r="30" spans="3:14" x14ac:dyDescent="0.25">
      <c r="C30" s="2"/>
      <c r="F30" s="2" t="s">
        <v>144</v>
      </c>
    </row>
    <row r="31" spans="3:14" x14ac:dyDescent="0.25">
      <c r="C31" s="2"/>
      <c r="F31" s="2" t="s">
        <v>146</v>
      </c>
    </row>
    <row r="32" spans="3:14" x14ac:dyDescent="0.25">
      <c r="C32" s="2"/>
      <c r="F32" s="2" t="s">
        <v>148</v>
      </c>
    </row>
    <row r="33" spans="3:9" x14ac:dyDescent="0.25">
      <c r="C33" s="2"/>
      <c r="F33" s="2" t="s">
        <v>150</v>
      </c>
    </row>
    <row r="34" spans="3:9" x14ac:dyDescent="0.25">
      <c r="C34" s="2"/>
      <c r="F34" s="2" t="s">
        <v>16</v>
      </c>
    </row>
    <row r="35" spans="3:9" x14ac:dyDescent="0.25">
      <c r="C35" s="1"/>
      <c r="F35" s="2" t="s">
        <v>153</v>
      </c>
    </row>
    <row r="36" spans="3:9" x14ac:dyDescent="0.25">
      <c r="C36" s="4"/>
      <c r="F36" s="2" t="s">
        <v>155</v>
      </c>
    </row>
    <row r="37" spans="3:9" x14ac:dyDescent="0.25">
      <c r="C37" s="4"/>
      <c r="F37" s="2" t="s">
        <v>17</v>
      </c>
      <c r="I37" s="3"/>
    </row>
    <row r="38" spans="3:9" x14ac:dyDescent="0.25">
      <c r="C38" s="4"/>
      <c r="F38" s="2" t="s">
        <v>159</v>
      </c>
      <c r="I38" s="3"/>
    </row>
    <row r="39" spans="3:9" x14ac:dyDescent="0.25">
      <c r="C39" s="4"/>
      <c r="F39" s="2" t="s">
        <v>161</v>
      </c>
      <c r="I39" s="3"/>
    </row>
    <row r="40" spans="3:9" x14ac:dyDescent="0.25">
      <c r="C40" s="4"/>
      <c r="F40" s="2" t="s">
        <v>163</v>
      </c>
      <c r="I40" s="3"/>
    </row>
    <row r="41" spans="3:9" x14ac:dyDescent="0.25">
      <c r="C41" s="4"/>
      <c r="F41" s="2" t="s">
        <v>165</v>
      </c>
      <c r="I41" s="3"/>
    </row>
    <row r="42" spans="3:9" x14ac:dyDescent="0.25">
      <c r="C42" s="4"/>
      <c r="F42" s="2" t="s">
        <v>167</v>
      </c>
      <c r="I42" s="3"/>
    </row>
    <row r="43" spans="3:9" x14ac:dyDescent="0.25">
      <c r="C43" s="1"/>
      <c r="I43" s="3"/>
    </row>
    <row r="44" spans="3:9" x14ac:dyDescent="0.25">
      <c r="C44" s="4"/>
      <c r="I44" s="3"/>
    </row>
    <row r="45" spans="3:9" x14ac:dyDescent="0.25">
      <c r="C45" s="4"/>
      <c r="I45" s="3"/>
    </row>
    <row r="46" spans="3:9" x14ac:dyDescent="0.25">
      <c r="C46" s="4"/>
      <c r="I46" s="3"/>
    </row>
    <row r="47" spans="3:9" x14ac:dyDescent="0.25">
      <c r="C47" s="4"/>
      <c r="I47" s="3"/>
    </row>
    <row r="48" spans="3:9" x14ac:dyDescent="0.25">
      <c r="C48" s="4"/>
      <c r="I48" s="3"/>
    </row>
    <row r="49" spans="3:9" x14ac:dyDescent="0.25">
      <c r="C49" s="4"/>
      <c r="I49" s="3"/>
    </row>
    <row r="50" spans="3:9" x14ac:dyDescent="0.25">
      <c r="C50" s="4"/>
    </row>
    <row r="51" spans="3:9" x14ac:dyDescent="0.25">
      <c r="C51" s="1"/>
    </row>
    <row r="52" spans="3:9" x14ac:dyDescent="0.25">
      <c r="C52" s="1"/>
    </row>
    <row r="53" spans="3:9" x14ac:dyDescent="0.25">
      <c r="C53" s="1"/>
    </row>
    <row r="54" spans="3:9" x14ac:dyDescent="0.25">
      <c r="C54" s="1"/>
    </row>
    <row r="55" spans="3:9" x14ac:dyDescent="0.25">
      <c r="C55" s="1"/>
    </row>
    <row r="56" spans="3:9" x14ac:dyDescent="0.25">
      <c r="C56" s="1"/>
    </row>
    <row r="57" spans="3:9" x14ac:dyDescent="0.25">
      <c r="C57" s="1"/>
    </row>
    <row r="58" spans="3:9" x14ac:dyDescent="0.25">
      <c r="C58" s="1"/>
    </row>
    <row r="59" spans="3:9" x14ac:dyDescent="0.25">
      <c r="C59" s="1"/>
    </row>
    <row r="60" spans="3:9" x14ac:dyDescent="0.25">
      <c r="C60" s="1"/>
    </row>
    <row r="61" spans="3:9" x14ac:dyDescent="0.25">
      <c r="C61" s="1"/>
    </row>
  </sheetData>
  <sheetProtection selectLockedCells="1" selectUnlockedCells="1"/>
  <sortState xmlns:xlrd2="http://schemas.microsoft.com/office/spreadsheetml/2017/richdata2" ref="C45:G50">
    <sortCondition ref="C44"/>
  </sortState>
  <mergeCells count="7">
    <mergeCell ref="R1:R2"/>
    <mergeCell ref="S1:S2"/>
    <mergeCell ref="O1:P1"/>
    <mergeCell ref="J1:J2"/>
    <mergeCell ref="L1:L2"/>
    <mergeCell ref="K1:K2"/>
    <mergeCell ref="M1:N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Impact Fee Worksheet</vt:lpstr>
      <vt:lpstr>Versions</vt:lpstr>
      <vt:lpstr>Collection Rates</vt:lpstr>
      <vt:lpstr>Land Use Equivalency Table</vt:lpstr>
      <vt:lpstr>Service Areas</vt:lpstr>
      <vt:lpstr>Hidden</vt:lpstr>
      <vt:lpstr>Commercial_Retail</vt:lpstr>
      <vt:lpstr>Industrial</vt:lpstr>
      <vt:lpstr>Institutional</vt:lpstr>
      <vt:lpstr>LandUseCat</vt:lpstr>
      <vt:lpstr>Office</vt:lpstr>
      <vt:lpstr>'Impact Fee Worksheet'!Print_Area</vt:lpstr>
      <vt:lpstr>'Land Use Equivalency Table'!Print_Area</vt:lpstr>
      <vt:lpstr>Residential</vt:lpstr>
      <vt:lpstr>Roadway_Service</vt:lpstr>
      <vt:lpstr>Select_Service_Area</vt:lpstr>
    </vt:vector>
  </TitlesOfParts>
  <Company>Freese and Nichols,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Herrig</dc:creator>
  <cp:lastModifiedBy>Johnny Sullivan</cp:lastModifiedBy>
  <cp:lastPrinted>2021-02-23T17:02:59Z</cp:lastPrinted>
  <dcterms:created xsi:type="dcterms:W3CDTF">2014-07-08T20:19:59Z</dcterms:created>
  <dcterms:modified xsi:type="dcterms:W3CDTF">2021-06-16T16:36:06Z</dcterms:modified>
</cp:coreProperties>
</file>